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D:\WorkShop\Python\GitHub\Publish\excel-holiday-sickness-calculator\"/>
    </mc:Choice>
  </mc:AlternateContent>
  <xr:revisionPtr revIDLastSave="0" documentId="13_ncr:1_{0401EE15-517E-4946-B0A1-94913EEFD50F}" xr6:coauthVersionLast="47" xr6:coauthVersionMax="47" xr10:uidLastSave="{00000000-0000-0000-0000-000000000000}"/>
  <bookViews>
    <workbookView xWindow="-120" yWindow="-120" windowWidth="29040" windowHeight="15840" xr2:uid="{00000000-000D-0000-FFFF-FFFF00000000}"/>
  </bookViews>
  <sheets>
    <sheet name="Dashboard" sheetId="8" r:id="rId1"/>
    <sheet name="Holidays" sheetId="5" r:id="rId2"/>
    <sheet name="Sickness" sheetId="11" r:id="rId3"/>
    <sheet name="Sickness Policy" sheetId="14" r:id="rId4"/>
    <sheet name="Data input" sheetId="7" r:id="rId5"/>
  </sheets>
  <definedNames>
    <definedName name="Accepted_by_list" localSheetId="4">Holiday_Accepted_By_Input[Accepted by]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8" l="1"/>
  <c r="E13" i="11"/>
  <c r="E9" i="11"/>
  <c r="F9" i="11" s="1"/>
  <c r="E10" i="11"/>
  <c r="E11" i="11"/>
  <c r="E12" i="11"/>
  <c r="E14" i="11"/>
  <c r="E15" i="11"/>
  <c r="E16" i="11"/>
  <c r="E17" i="11"/>
  <c r="E18" i="11"/>
  <c r="E19" i="11"/>
  <c r="E20" i="11"/>
  <c r="E21" i="11"/>
  <c r="E22" i="11"/>
  <c r="E23" i="11"/>
  <c r="E24" i="11"/>
  <c r="F11" i="11" l="1"/>
  <c r="F12" i="11"/>
  <c r="F13" i="11"/>
  <c r="F14" i="11"/>
  <c r="F15" i="11"/>
  <c r="F16" i="11"/>
  <c r="F17" i="11"/>
  <c r="F20" i="11"/>
  <c r="F21" i="11"/>
  <c r="F22" i="11"/>
  <c r="F23" i="11"/>
  <c r="F24" i="11"/>
  <c r="F10" i="11"/>
  <c r="F18" i="11"/>
  <c r="F19" i="11"/>
  <c r="H10" i="11"/>
  <c r="H11" i="11"/>
  <c r="H12" i="11"/>
  <c r="H13" i="11"/>
  <c r="H14" i="11"/>
  <c r="H15" i="11"/>
  <c r="H16" i="11"/>
  <c r="H17" i="11"/>
  <c r="H18" i="11"/>
  <c r="H19" i="11"/>
  <c r="H20" i="11"/>
  <c r="H21" i="11"/>
  <c r="H22" i="11"/>
  <c r="H23" i="11"/>
  <c r="H24" i="11"/>
  <c r="H9" i="11"/>
  <c r="D42" i="8" l="1"/>
  <c r="C24" i="8" s="1"/>
  <c r="C41" i="8"/>
  <c r="C4" i="14" l="1"/>
  <c r="C34" i="8"/>
  <c r="D36" i="8" a="1"/>
  <c r="D36" i="8" s="1"/>
  <c r="D35" i="8"/>
  <c r="B4" i="11"/>
  <c r="B24" i="8"/>
  <c r="C42" i="8"/>
  <c r="D47" i="8" s="1"/>
  <c r="C47" i="8" s="1"/>
  <c r="D19" i="8"/>
  <c r="D24" i="8"/>
  <c r="B20" i="8"/>
  <c r="D20" i="8"/>
  <c r="B25" i="8"/>
  <c r="D43" i="8"/>
  <c r="B21" i="8"/>
  <c r="C25" i="8"/>
  <c r="D11" i="8"/>
  <c r="C11" i="8" s="1"/>
  <c r="B22" i="8"/>
  <c r="B26" i="8"/>
  <c r="B18" i="8"/>
  <c r="C22" i="8"/>
  <c r="C18" i="8"/>
  <c r="D22" i="8"/>
  <c r="C19" i="8"/>
  <c r="B23" i="8"/>
  <c r="C23" i="8"/>
  <c r="C20" i="8"/>
  <c r="D23" i="8"/>
  <c r="D25" i="8"/>
  <c r="D18" i="8"/>
  <c r="C21" i="8"/>
  <c r="B19" i="8"/>
  <c r="D21" i="8"/>
  <c r="B39" i="8" l="1" a="1"/>
  <c r="B39" i="8" s="1"/>
  <c r="G11" i="11" a="1"/>
  <c r="G11" i="11" s="1"/>
  <c r="G19" i="11" a="1"/>
  <c r="G19" i="11" s="1"/>
  <c r="G12" i="11" a="1"/>
  <c r="G12" i="11" s="1"/>
  <c r="G20" i="11" a="1"/>
  <c r="G20" i="11" s="1"/>
  <c r="G17" i="11" a="1"/>
  <c r="G17" i="11" s="1"/>
  <c r="G10" i="11" a="1"/>
  <c r="G10" i="11" s="1"/>
  <c r="G18" i="11" a="1"/>
  <c r="G18" i="11" s="1"/>
  <c r="G13" i="11" a="1"/>
  <c r="G13" i="11" s="1"/>
  <c r="G16" i="11" a="1"/>
  <c r="G16" i="11" s="1"/>
  <c r="G22" i="11" a="1"/>
  <c r="G22" i="11" s="1"/>
  <c r="G21" i="11" a="1"/>
  <c r="G21" i="11" s="1"/>
  <c r="G15" i="11" a="1"/>
  <c r="G15" i="11" s="1"/>
  <c r="G14" i="11" a="1"/>
  <c r="G14" i="11" s="1"/>
  <c r="G23" i="11" a="1"/>
  <c r="G23" i="11" s="1"/>
  <c r="G24" i="11" a="1"/>
  <c r="G24" i="11" s="1"/>
  <c r="G9" i="11" a="1"/>
  <c r="G9" i="11" s="1"/>
  <c r="D29" i="8"/>
  <c r="B38" i="8"/>
  <c r="C30" i="8"/>
  <c r="D27" i="8"/>
  <c r="C26" i="8"/>
  <c r="B29" i="8"/>
  <c r="B30" i="8"/>
  <c r="C29" i="8"/>
  <c r="B28" i="8"/>
  <c r="C28" i="8"/>
  <c r="B27" i="8"/>
  <c r="D26" i="8"/>
  <c r="C27" i="8"/>
  <c r="D28" i="8"/>
  <c r="C43" i="8"/>
  <c r="C46" i="8" s="1"/>
  <c r="D46" i="8" s="1"/>
  <c r="D30" i="8"/>
  <c r="D12" i="8" l="1"/>
  <c r="C12" i="8" s="1"/>
  <c r="D13" i="8"/>
  <c r="C13" i="8" s="1"/>
  <c r="D48" i="8"/>
  <c r="C48" i="8" s="1"/>
  <c r="C31" i="8"/>
  <c r="D31" i="8"/>
  <c r="D14" i="8" l="1"/>
  <c r="D15" i="8" s="1"/>
  <c r="C15" i="8" s="1"/>
  <c r="C14"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<sst xmlns="http://schemas.openxmlformats.org/spreadsheetml/2006/main" count="1006" uniqueCount="123">
  <si>
    <t>Today Date</t>
  </si>
  <si>
    <t>Already Worked Hours</t>
  </si>
  <si>
    <t>Year Starting Date</t>
  </si>
  <si>
    <t>Year End Date</t>
  </si>
  <si>
    <t>Date</t>
  </si>
  <si>
    <t>Hours</t>
  </si>
  <si>
    <t>Days</t>
  </si>
  <si>
    <t>Months</t>
  </si>
  <si>
    <t>Year</t>
  </si>
  <si>
    <t>Comments</t>
  </si>
  <si>
    <t>Total</t>
  </si>
  <si>
    <t>Annual Allowance</t>
  </si>
  <si>
    <t>Upcoming Bookings</t>
  </si>
  <si>
    <t>Total Bookings</t>
  </si>
  <si>
    <t>Remaining Balance</t>
  </si>
  <si>
    <t>Annual Allowance (Hours)</t>
  </si>
  <si>
    <t>Accepted by</t>
  </si>
  <si>
    <t>Method</t>
  </si>
  <si>
    <t>In Person</t>
  </si>
  <si>
    <t>Reason</t>
  </si>
  <si>
    <t>Meeting</t>
  </si>
  <si>
    <t>Status</t>
  </si>
  <si>
    <t>Color Explanation</t>
  </si>
  <si>
    <t>Holiday Details</t>
  </si>
  <si>
    <t>Sickness Details</t>
  </si>
  <si>
    <t>Count</t>
  </si>
  <si>
    <t>Working Hours</t>
  </si>
  <si>
    <t>8 weeks</t>
  </si>
  <si>
    <t>Contract Start:</t>
  </si>
  <si>
    <t>Sick Days</t>
  </si>
  <si>
    <t>Sickness Allowance (Last 12 Months)</t>
  </si>
  <si>
    <t>Select Holiday Year:</t>
  </si>
  <si>
    <t>last 12 months</t>
  </si>
  <si>
    <t>Last Day</t>
  </si>
  <si>
    <t>First Day</t>
  </si>
  <si>
    <t>Key Definitions:</t>
  </si>
  <si>
    <t>Potential outcome</t>
  </si>
  <si>
    <t>12 month review period</t>
  </si>
  <si>
    <t>The absence review process:</t>
  </si>
  <si>
    <t>Process step</t>
  </si>
  <si>
    <t>Review Period</t>
  </si>
  <si>
    <t>No meeting</t>
  </si>
  <si>
    <t>Review End</t>
  </si>
  <si>
    <t>RTWC - Return to Work Conversation</t>
  </si>
  <si>
    <t>INPUT THE DATE</t>
  </si>
  <si>
    <t>INPUT THE REASON</t>
  </si>
  <si>
    <t>SELECT AN OPTION</t>
  </si>
  <si>
    <t>CALCULATED CELLS → DO NOT EDIT</t>
  </si>
  <si>
    <t>CALCULATED CELLS, however, please check the calculated days against your rota and adjust them if necessary, as working patterns may vary.</t>
  </si>
  <si>
    <t>Length of service</t>
  </si>
  <si>
    <t>Today's Date:</t>
  </si>
  <si>
    <t>Last 12 Months</t>
  </si>
  <si>
    <t>Remaining Working Hours</t>
  </si>
  <si>
    <t>Total Annual Working Hours</t>
  </si>
  <si>
    <t>Amelia Carter</t>
  </si>
  <si>
    <t>Daniel Reed</t>
  </si>
  <si>
    <t>Priya Shah</t>
  </si>
  <si>
    <t>HR System</t>
  </si>
  <si>
    <t>Spring leave</t>
  </si>
  <si>
    <t>Half day</t>
  </si>
  <si>
    <t>Long weekend</t>
  </si>
  <si>
    <t>Autumn leave</t>
  </si>
  <si>
    <t>Christmas leave</t>
  </si>
  <si>
    <t>Winter break</t>
  </si>
  <si>
    <t>Early finish</t>
  </si>
  <si>
    <t>Cold</t>
  </si>
  <si>
    <t>Migraine</t>
  </si>
  <si>
    <t>Stomach bug</t>
  </si>
  <si>
    <t>Flu</t>
  </si>
  <si>
    <t>Back strain</t>
  </si>
  <si>
    <t>Viral infection</t>
  </si>
  <si>
    <t>Summer leave</t>
  </si>
  <si>
    <t>Family visit</t>
  </si>
  <si>
    <t>Short break</t>
  </si>
  <si>
    <t>Spring break</t>
  </si>
  <si>
    <t>Summer holiday</t>
  </si>
  <si>
    <t>Personal day</t>
  </si>
  <si>
    <t>Autumn break</t>
  </si>
  <si>
    <t>New Year leave</t>
  </si>
  <si>
    <t>Winter holiday</t>
  </si>
  <si>
    <t>Halloween leave</t>
  </si>
  <si>
    <t>Halloween break</t>
  </si>
  <si>
    <t>Chest infection</t>
  </si>
  <si>
    <t>Portfolio Demonstration Policy</t>
  </si>
  <si>
    <t>This policy and all related data are entirely fictional and have been created solely to demonstrate the functionality of this Excel portfolio project. It does not represent the policy of any real employer.</t>
  </si>
  <si>
    <t>CSP entitlement</t>
  </si>
  <si>
    <t>Up to 6 months</t>
  </si>
  <si>
    <t>No CSP entitlement</t>
  </si>
  <si>
    <t>Over 6 months up to 2 years</t>
  </si>
  <si>
    <t>2 weeks</t>
  </si>
  <si>
    <t>Over 2 years up to 5 years</t>
  </si>
  <si>
    <t>4 weeks</t>
  </si>
  <si>
    <t>Over 5 years up to 8 years</t>
  </si>
  <si>
    <t>6 weeks</t>
  </si>
  <si>
    <t>Over 8 years up to 12 years</t>
  </si>
  <si>
    <t>Over 12 years</t>
  </si>
  <si>
    <t>12 weeks</t>
  </si>
  <si>
    <r>
      <rPr>
        <b/>
        <sz val="12"/>
        <color theme="1"/>
        <rFont val="Calibri"/>
        <family val="2"/>
        <scheme val="minor"/>
      </rPr>
      <t>CSP</t>
    </r>
    <r>
      <rPr>
        <sz val="12"/>
        <color theme="1"/>
        <rFont val="Calibri"/>
        <family val="2"/>
        <scheme val="minor"/>
      </rPr>
      <t xml:space="preserve"> is an </t>
    </r>
    <r>
      <rPr>
        <b/>
        <sz val="12"/>
        <color theme="1"/>
        <rFont val="Calibri"/>
        <family val="2"/>
        <scheme val="minor"/>
      </rPr>
      <t>employer-funded sick pay benefit</t>
    </r>
    <r>
      <rPr>
        <sz val="12"/>
        <color theme="1"/>
        <rFont val="Calibri"/>
        <family val="2"/>
        <scheme val="minor"/>
      </rPr>
      <t xml:space="preserve">. Eligibility is based on length of service, and the </t>
    </r>
    <r>
      <rPr>
        <b/>
        <sz val="12"/>
        <color theme="1"/>
        <rFont val="Calibri"/>
        <family val="2"/>
        <scheme val="minor"/>
      </rPr>
      <t>table above shows the maximum CSP</t>
    </r>
    <r>
      <rPr>
        <sz val="12"/>
        <color theme="1"/>
        <rFont val="Calibri"/>
        <family val="2"/>
        <scheme val="minor"/>
      </rPr>
      <t xml:space="preserve"> entitlement available within a </t>
    </r>
    <r>
      <rPr>
        <b/>
        <sz val="12"/>
        <color theme="1"/>
        <rFont val="Calibri"/>
        <family val="2"/>
        <scheme val="minor"/>
      </rPr>
      <t>rolling 12-month period</t>
    </r>
    <r>
      <rPr>
        <sz val="12"/>
        <color theme="1"/>
        <rFont val="Calibri"/>
        <family val="2"/>
        <scheme val="minor"/>
      </rPr>
      <t>.</t>
    </r>
  </si>
  <si>
    <t>First 2 Days of Sickness</t>
  </si>
  <si>
    <t>If an employee has had 3 or more separate sickness absences within the previous 18 months, CSP will not be paid for the first 2 scheduled working days of their next sickness absence.
These unpaid days do not reduce the employee's remaining CSP entitlement.
If there have been fewer than 3 previous absences within the 18-month period, CSP may be paid from the first eligible working day, and those days count towards the employee's CSP entitlement.</t>
  </si>
  <si>
    <r>
      <t>CSP – Company Sick Pay:</t>
    </r>
    <r>
      <rPr>
        <sz val="12"/>
        <color theme="1"/>
        <rFont val="Calibri"/>
        <family val="2"/>
        <scheme val="minor"/>
      </rPr>
      <t xml:space="preserve"> Additional sick pay provided by the employer, subject to eligibility and the limits shown above.</t>
    </r>
  </si>
  <si>
    <r>
      <t xml:space="preserve">STA – Short-Term Absence: </t>
    </r>
    <r>
      <rPr>
        <sz val="12"/>
        <color theme="1"/>
        <rFont val="Calibri"/>
        <family val="2"/>
        <scheme val="minor"/>
      </rPr>
      <t>A relatively short period of sickness absence.</t>
    </r>
  </si>
  <si>
    <r>
      <t>LTA – Long-Term Absence:</t>
    </r>
    <r>
      <rPr>
        <sz val="12"/>
        <color theme="1"/>
        <rFont val="Calibri"/>
        <family val="2"/>
        <scheme val="minor"/>
      </rPr>
      <t xml:space="preserve"> A continuous sickness absence lasting more than four weeks.</t>
    </r>
  </si>
  <si>
    <r>
      <t xml:space="preserve">RTWC – Return to Work Conversation: </t>
    </r>
    <r>
      <rPr>
        <sz val="12"/>
        <color theme="1"/>
        <rFont val="Calibri"/>
        <family val="2"/>
        <scheme val="minor"/>
      </rPr>
      <t>An informal conversation after sickness absence to discuss the employee's return to work, any support required and attendance concerns.</t>
    </r>
  </si>
  <si>
    <r>
      <t xml:space="preserve">Review Period: </t>
    </r>
    <r>
      <rPr>
        <sz val="12"/>
        <color theme="1"/>
        <rFont val="Calibri"/>
        <family val="2"/>
        <scheme val="minor"/>
      </rPr>
      <t>A defined period following an attendance review during which further sickness absence may lead to the next stage of the attendance review process.</t>
    </r>
  </si>
  <si>
    <t>RTWC – Return to Work Conversation</t>
  </si>
  <si>
    <t>1st attendance review meeting</t>
  </si>
  <si>
    <t>4-month review period</t>
  </si>
  <si>
    <t>2nd attendance review meeting</t>
  </si>
  <si>
    <t>8-month review period</t>
  </si>
  <si>
    <t>Formal attendance review meeting</t>
  </si>
  <si>
    <t>12-month review period</t>
  </si>
  <si>
    <t>Final attendance review meeting</t>
  </si>
  <si>
    <t>Further formal action may be considered</t>
  </si>
  <si>
    <t>4 month review period</t>
  </si>
  <si>
    <t>8 month review period</t>
  </si>
  <si>
    <t>Further formal action</t>
  </si>
  <si>
    <t>Last 18 Months</t>
  </si>
  <si>
    <t>12-18 months</t>
  </si>
  <si>
    <t>over 18 months</t>
  </si>
  <si>
    <t>CSP is paid from the first eligible day if you have had fewer than 3 absences in the last 18 months.
If your next absence would be the 4th occurrence, the first 2 working days will be unpaid.</t>
  </si>
  <si>
    <t>Fictional policy created for portfolio demonstration purposes.</t>
  </si>
  <si>
    <t>Bookings to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</si>
</sst>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 yyyy"/>
    <numFmt numFmtId="165" formatCode="0.0"/>
    <numFmt numFmtId="166" formatCode="0.0;\-0.0;;"/>
    <numFmt numFmtId="167" formatCode="&quot;You have &quot;0\ &quot;fully paid sick days (CSP) remaining;&quot;;&quot;You have no fully paid sick days (CSP) remaining.&quot;"/>
  </numFmts>
  <fonts count="16" x14ac:knownFonts="1">
    <font>
      <sz val="11"/>
      <color theme="1"/>
      <name val="Calibri"/>
      <family val="2"/>
      <scheme val="minor"/>
    </font>
    <font>
      <sz val="12"/>
      <color theme="1"/>
      <name val="Calibri"/>
      <family val="2"/>
      <scheme val="minor"/>
    </font>
    <font>
      <sz val="12"/>
      <name val="Calibri"/>
      <family val="2"/>
      <scheme val="minor"/>
    </font>
    <font>
      <sz val="14"/>
      <color theme="1"/>
      <name val="Calibri"/>
      <family val="2"/>
      <scheme val="minor"/>
    </font>
    <font>
      <b/>
      <sz val="18"/>
      <color theme="1"/>
      <name val="Calibri"/>
      <family val="2"/>
      <scheme val="minor"/>
    </font>
    <font>
      <b/>
      <sz val="18"/>
      <color rgb="FFFF0000"/>
      <name val="Calibri"/>
      <family val="2"/>
      <scheme val="minor"/>
    </font>
    <font>
      <sz val="14"/>
      <name val="Calibri"/>
      <family val="2"/>
      <scheme val="minor"/>
    </font>
    <font>
      <b/>
      <sz val="14"/>
      <color theme="1"/>
      <name val="Calibri"/>
      <family val="2"/>
      <scheme val="minor"/>
    </font>
    <font>
      <b/>
      <sz val="12"/>
      <color theme="0"/>
      <name val="Calibri"/>
      <family val="2"/>
      <scheme val="minor"/>
    </font>
    <font>
      <b/>
      <sz val="24"/>
      <color theme="1"/>
      <name val="Calibri"/>
      <family val="2"/>
      <scheme val="minor"/>
    </font>
    <font>
      <b/>
      <sz val="14"/>
      <name val="Calibri"/>
      <family val="2"/>
      <scheme val="minor"/>
    </font>
    <font>
      <b/>
      <sz val="12"/>
      <color theme="1"/>
      <name val="Calibri"/>
      <family val="2"/>
      <scheme val="minor"/>
    </font>
    <font>
      <b/>
      <sz val="28"/>
      <color theme="1"/>
      <name val="Calibri"/>
      <family val="2"/>
      <scheme val="minor"/>
    </font>
    <font>
      <sz val="14"/>
      <color theme="0"/>
      <name val="Calibri"/>
      <family val="2"/>
      <scheme val="minor"/>
    </font>
    <font>
      <b/>
      <sz val="12"/>
      <color rgb="FFC00000"/>
      <name val="Calibri"/>
      <family val="2"/>
      <scheme val="minor"/>
    </font>
    <font>
      <b/>
      <sz val="11"/>
      <color theme="1"/>
      <name val="Calibri"/>
      <family val="2"/>
      <scheme val="minor"/>
    </font>
  </fonts>
  <fills count="21">
    <fill>
      <patternFill patternType="none"/>
    </fill>
    <fill>
      <patternFill patternType="gray125"/>
    </fill>
    <fill>
      <patternFill patternType="solid">
        <fgColor theme="5" tint="0.79998168889431442"/>
        <bgColor theme="5" tint="0.79998168889431442"/>
      </patternFill>
    </fill>
    <fill>
      <patternFill patternType="solid">
        <fgColor theme="9" tint="0.79998168889431442"/>
        <bgColor theme="9" tint="0.79998168889431442"/>
      </patternFill>
    </fill>
    <fill>
      <patternFill patternType="solid">
        <fgColor theme="5" tint="0.39997558519241921"/>
        <bgColor indexed="64"/>
      </patternFill>
    </fill>
    <fill>
      <patternFill patternType="solid">
        <fgColor theme="0"/>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00000"/>
        <bgColor indexed="64"/>
      </patternFill>
    </fill>
    <fill>
      <patternFill patternType="solid">
        <fgColor theme="2" tint="-9.9978637043366805E-2"/>
        <bgColor indexed="64"/>
      </patternFill>
    </fill>
    <fill>
      <patternFill patternType="solid">
        <fgColor rgb="FFFF9999"/>
        <bgColor indexed="64"/>
      </patternFill>
    </fill>
    <fill>
      <patternFill patternType="solid">
        <fgColor rgb="FFFF5D61"/>
        <bgColor indexed="64"/>
      </patternFill>
    </fill>
    <fill>
      <patternFill patternType="solid">
        <fgColor theme="4" tint="0.79998168889431442"/>
        <bgColor theme="9" tint="0.79998168889431442"/>
      </patternFill>
    </fill>
    <fill>
      <patternFill patternType="solid">
        <fgColor theme="9" tint="0.39997558519241921"/>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8"/>
        <bgColor indexed="64"/>
      </patternFill>
    </fill>
    <fill>
      <patternFill patternType="solid">
        <fgColor theme="7"/>
        <bgColor indexed="64"/>
      </patternFill>
    </fill>
  </fills>
  <borders count="41">
    <border>
      <left/>
      <right/>
      <top/>
      <bottom/>
      <diagonal/>
    </border>
    <border>
      <left style="slantDashDot">
        <color auto="1"/>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style="slantDashDot">
        <color auto="1"/>
      </right>
      <top/>
      <bottom style="slantDashDot">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slantDashDot">
        <color auto="1"/>
      </top>
      <bottom/>
      <diagonal/>
    </border>
    <border>
      <left/>
      <right/>
      <top/>
      <bottom style="slantDashDot">
        <color auto="1"/>
      </bottom>
      <diagonal/>
    </border>
    <border>
      <left/>
      <right/>
      <top style="thin">
        <color indexed="64"/>
      </top>
      <bottom/>
      <diagonal/>
    </border>
    <border>
      <left/>
      <right style="slantDashDot">
        <color rgb="FFC00000"/>
      </right>
      <top/>
      <bottom/>
      <diagonal/>
    </border>
    <border>
      <left style="thin">
        <color auto="1"/>
      </left>
      <right style="thin">
        <color theme="0" tint="-0.499984740745262"/>
      </right>
      <top style="thin">
        <color auto="1"/>
      </top>
      <bottom style="thin">
        <color theme="0" tint="-0.499984740745262"/>
      </bottom>
      <diagonal/>
    </border>
    <border>
      <left style="thin">
        <color theme="0" tint="-0.499984740745262"/>
      </left>
      <right style="thin">
        <color theme="0" tint="-0.499984740745262"/>
      </right>
      <top style="thin">
        <color auto="1"/>
      </top>
      <bottom style="thin">
        <color theme="0" tint="-0.499984740745262"/>
      </bottom>
      <diagonal/>
    </border>
    <border>
      <left style="thin">
        <color theme="0" tint="-0.499984740745262"/>
      </left>
      <right style="thin">
        <color auto="1"/>
      </right>
      <top style="thin">
        <color auto="1"/>
      </top>
      <bottom style="thin">
        <color theme="0" tint="-0.499984740745262"/>
      </bottom>
      <diagonal/>
    </border>
    <border>
      <left style="thin">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auto="1"/>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auto="1"/>
      </right>
      <top style="thin">
        <color theme="0" tint="-0.499984740745262"/>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thin">
        <color rgb="FFC00000"/>
      </top>
      <bottom style="thin">
        <color rgb="FFC00000"/>
      </bottom>
      <diagonal/>
    </border>
    <border>
      <left/>
      <right/>
      <top style="thin">
        <color rgb="FFC00000"/>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7">
    <xf numFmtId="0" fontId="0" fillId="0" borderId="0" xfId="0"/>
    <xf numFmtId="0" fontId="1" fillId="0" borderId="0" xfId="0" applyFont="1"/>
    <xf numFmtId="0" fontId="3" fillId="0" borderId="0" xfId="0" applyFont="1"/>
    <xf numFmtId="0" fontId="1" fillId="0" borderId="0" xfId="0" applyFont="1" applyAlignment="1" applyProtection="1">
      <alignment horizontal="center"/>
      <protection locked="0"/>
    </xf>
    <xf numFmtId="0" fontId="6" fillId="0" borderId="0" xfId="0" applyFont="1"/>
    <xf numFmtId="0" fontId="1" fillId="5" borderId="0" xfId="0" applyFont="1" applyFill="1"/>
    <xf numFmtId="0" fontId="4" fillId="5" borderId="1" xfId="0" applyFont="1" applyFill="1" applyBorder="1" applyAlignment="1">
      <alignment horizontal="center" vertical="center"/>
    </xf>
    <xf numFmtId="0" fontId="5" fillId="5" borderId="15" xfId="0" applyFont="1" applyFill="1" applyBorder="1" applyAlignment="1">
      <alignment horizontal="center" vertical="center"/>
    </xf>
    <xf numFmtId="0" fontId="9" fillId="5" borderId="2" xfId="0" applyFont="1" applyFill="1" applyBorder="1" applyAlignment="1">
      <alignment vertical="center"/>
    </xf>
    <xf numFmtId="0" fontId="9" fillId="5" borderId="0" xfId="0" applyFont="1" applyFill="1" applyAlignment="1">
      <alignment vertical="center"/>
    </xf>
    <xf numFmtId="0" fontId="4" fillId="5" borderId="3" xfId="0" applyFont="1" applyFill="1" applyBorder="1" applyAlignment="1">
      <alignment horizontal="left"/>
    </xf>
    <xf numFmtId="0" fontId="4" fillId="5" borderId="5" xfId="0" applyFont="1" applyFill="1" applyBorder="1" applyAlignment="1">
      <alignment horizontal="center" vertical="center"/>
    </xf>
    <xf numFmtId="0" fontId="5" fillId="5" borderId="16" xfId="0" applyFont="1" applyFill="1" applyBorder="1" applyAlignment="1">
      <alignment horizontal="center" vertical="center"/>
    </xf>
    <xf numFmtId="0" fontId="9" fillId="5" borderId="6" xfId="0" applyFont="1" applyFill="1" applyBorder="1" applyAlignment="1">
      <alignment vertical="center"/>
    </xf>
    <xf numFmtId="0" fontId="5" fillId="5" borderId="2" xfId="0" applyFont="1" applyFill="1" applyBorder="1" applyAlignment="1">
      <alignment horizontal="center" vertical="center"/>
    </xf>
    <xf numFmtId="0" fontId="5" fillId="5" borderId="6" xfId="0" applyFont="1" applyFill="1" applyBorder="1" applyAlignment="1">
      <alignment horizontal="center" vertical="center"/>
    </xf>
    <xf numFmtId="0" fontId="7" fillId="10" borderId="8" xfId="0" applyFont="1" applyFill="1" applyBorder="1"/>
    <xf numFmtId="0" fontId="8" fillId="6" borderId="8" xfId="0" applyFont="1" applyFill="1" applyBorder="1"/>
    <xf numFmtId="165" fontId="8" fillId="6" borderId="8" xfId="0" applyNumberFormat="1" applyFont="1" applyFill="1" applyBorder="1"/>
    <xf numFmtId="0" fontId="1" fillId="9" borderId="8" xfId="0" applyFont="1" applyFill="1" applyBorder="1"/>
    <xf numFmtId="165" fontId="1" fillId="9" borderId="8" xfId="0" applyNumberFormat="1" applyFont="1" applyFill="1" applyBorder="1"/>
    <xf numFmtId="0" fontId="2" fillId="9" borderId="8" xfId="0" applyFont="1" applyFill="1" applyBorder="1"/>
    <xf numFmtId="0" fontId="1" fillId="4" borderId="8" xfId="0" applyFont="1" applyFill="1" applyBorder="1"/>
    <xf numFmtId="165" fontId="1" fillId="4" borderId="8" xfId="0" applyNumberFormat="1" applyFont="1" applyFill="1" applyBorder="1"/>
    <xf numFmtId="0" fontId="2" fillId="4" borderId="8" xfId="0" applyFont="1" applyFill="1" applyBorder="1"/>
    <xf numFmtId="0" fontId="8" fillId="8" borderId="8" xfId="0" applyFont="1" applyFill="1" applyBorder="1"/>
    <xf numFmtId="165" fontId="8" fillId="8" borderId="8" xfId="0" applyNumberFormat="1" applyFont="1" applyFill="1" applyBorder="1"/>
    <xf numFmtId="0" fontId="8" fillId="7" borderId="0" xfId="0" applyFont="1" applyFill="1"/>
    <xf numFmtId="165" fontId="8" fillId="7" borderId="0" xfId="0" applyNumberFormat="1" applyFont="1" applyFill="1"/>
    <xf numFmtId="0" fontId="1" fillId="11" borderId="18" xfId="0" applyFont="1" applyFill="1" applyBorder="1" applyAlignment="1">
      <alignment horizontal="right" vertical="center"/>
    </xf>
    <xf numFmtId="0" fontId="14" fillId="5" borderId="0" xfId="0" applyFont="1" applyFill="1" applyAlignment="1">
      <alignment horizontal="left"/>
    </xf>
    <xf numFmtId="0" fontId="14" fillId="5" borderId="0" xfId="0" applyFont="1" applyFill="1"/>
    <xf numFmtId="164" fontId="3" fillId="4" borderId="0" xfId="0" applyNumberFormat="1" applyFont="1" applyFill="1"/>
    <xf numFmtId="164" fontId="0" fillId="0" borderId="0" xfId="0" applyNumberFormat="1"/>
    <xf numFmtId="166" fontId="1" fillId="0" borderId="0" xfId="0" applyNumberFormat="1" applyFont="1"/>
    <xf numFmtId="2" fontId="1" fillId="5" borderId="0" xfId="0" applyNumberFormat="1" applyFont="1" applyFill="1"/>
    <xf numFmtId="0" fontId="0" fillId="4" borderId="0" xfId="0" applyFill="1"/>
    <xf numFmtId="0" fontId="1" fillId="4" borderId="0" xfId="0" applyFont="1" applyFill="1"/>
    <xf numFmtId="0" fontId="1" fillId="3" borderId="19" xfId="0" applyFont="1" applyFill="1" applyBorder="1"/>
    <xf numFmtId="14" fontId="1" fillId="3" borderId="20" xfId="0" applyNumberFormat="1" applyFont="1" applyFill="1" applyBorder="1"/>
    <xf numFmtId="14" fontId="1" fillId="5" borderId="21" xfId="0" applyNumberFormat="1" applyFont="1" applyFill="1" applyBorder="1"/>
    <xf numFmtId="0" fontId="1" fillId="2" borderId="22" xfId="0" applyFont="1" applyFill="1" applyBorder="1"/>
    <xf numFmtId="14" fontId="1" fillId="2" borderId="23" xfId="0" applyNumberFormat="1" applyFont="1" applyFill="1" applyBorder="1"/>
    <xf numFmtId="1" fontId="1" fillId="2" borderId="24" xfId="0" applyNumberFormat="1" applyFont="1" applyFill="1" applyBorder="1"/>
    <xf numFmtId="0" fontId="1" fillId="5" borderId="22" xfId="0" applyFont="1" applyFill="1" applyBorder="1"/>
    <xf numFmtId="0" fontId="1" fillId="5" borderId="23" xfId="0" applyFont="1" applyFill="1" applyBorder="1"/>
    <xf numFmtId="0" fontId="1" fillId="5" borderId="24" xfId="0" applyFont="1" applyFill="1" applyBorder="1"/>
    <xf numFmtId="0" fontId="1" fillId="10" borderId="22" xfId="0" applyFont="1" applyFill="1" applyBorder="1"/>
    <xf numFmtId="0" fontId="1" fillId="10" borderId="23" xfId="0" applyFont="1" applyFill="1" applyBorder="1"/>
    <xf numFmtId="0" fontId="1" fillId="10" borderId="24" xfId="0" applyFont="1" applyFill="1" applyBorder="1"/>
    <xf numFmtId="1" fontId="1" fillId="2" borderId="23" xfId="0" applyNumberFormat="1" applyFont="1" applyFill="1" applyBorder="1"/>
    <xf numFmtId="0" fontId="1" fillId="3" borderId="22" xfId="0" applyFont="1" applyFill="1" applyBorder="1"/>
    <xf numFmtId="1" fontId="1" fillId="3" borderId="23" xfId="0" applyNumberFormat="1" applyFont="1" applyFill="1" applyBorder="1"/>
    <xf numFmtId="1" fontId="1" fillId="3" borderId="24" xfId="0" applyNumberFormat="1" applyFont="1" applyFill="1" applyBorder="1"/>
    <xf numFmtId="0" fontId="1" fillId="15" borderId="25" xfId="0" applyFont="1" applyFill="1" applyBorder="1"/>
    <xf numFmtId="1" fontId="1" fillId="15" borderId="26" xfId="0" applyNumberFormat="1" applyFont="1" applyFill="1" applyBorder="1"/>
    <xf numFmtId="1" fontId="1" fillId="15" borderId="27" xfId="0" applyNumberFormat="1" applyFont="1" applyFill="1" applyBorder="1"/>
    <xf numFmtId="0" fontId="0" fillId="5" borderId="0" xfId="0" applyFill="1"/>
    <xf numFmtId="0" fontId="1" fillId="5" borderId="15" xfId="0" applyFont="1" applyFill="1" applyBorder="1"/>
    <xf numFmtId="0" fontId="1" fillId="5" borderId="16" xfId="0" applyFont="1" applyFill="1" applyBorder="1"/>
    <xf numFmtId="0" fontId="5" fillId="5" borderId="4" xfId="0" applyFont="1" applyFill="1" applyBorder="1" applyAlignment="1" applyProtection="1">
      <alignment horizontal="right"/>
      <protection locked="0"/>
    </xf>
    <xf numFmtId="0" fontId="6" fillId="6" borderId="0" xfId="0" applyFont="1" applyFill="1" applyAlignment="1" applyProtection="1">
      <alignment horizontal="left"/>
      <protection locked="0"/>
    </xf>
    <xf numFmtId="0" fontId="7" fillId="0" borderId="0" xfId="0" applyFont="1" applyProtection="1">
      <protection locked="0"/>
    </xf>
    <xf numFmtId="0" fontId="1" fillId="0" borderId="0" xfId="0" applyFont="1" applyProtection="1">
      <protection locked="0"/>
    </xf>
    <xf numFmtId="0" fontId="1" fillId="10" borderId="14" xfId="0" applyFont="1" applyFill="1" applyBorder="1" applyAlignment="1" applyProtection="1">
      <alignment horizontal="justify" vertical="top" wrapText="1"/>
      <protection locked="0"/>
    </xf>
    <xf numFmtId="0" fontId="1" fillId="17" borderId="0" xfId="0" applyFont="1" applyFill="1"/>
    <xf numFmtId="0" fontId="10" fillId="0" borderId="0" xfId="0" applyFont="1"/>
    <xf numFmtId="0" fontId="1" fillId="10" borderId="9" xfId="0" applyFont="1" applyFill="1" applyBorder="1" applyProtection="1">
      <protection locked="0"/>
    </xf>
    <xf numFmtId="0" fontId="1" fillId="10" borderId="10" xfId="0" applyFont="1" applyFill="1" applyBorder="1" applyProtection="1">
      <protection locked="0"/>
    </xf>
    <xf numFmtId="0" fontId="1" fillId="10" borderId="11" xfId="0" applyFont="1" applyFill="1" applyBorder="1" applyProtection="1">
      <protection locked="0"/>
    </xf>
    <xf numFmtId="0" fontId="1" fillId="10" borderId="12" xfId="0" applyFont="1" applyFill="1" applyBorder="1" applyProtection="1">
      <protection locked="0"/>
    </xf>
    <xf numFmtId="0" fontId="11" fillId="10" borderId="11" xfId="0" applyFont="1" applyFill="1" applyBorder="1" applyAlignment="1" applyProtection="1">
      <alignment horizontal="justify" vertical="top" wrapText="1"/>
      <protection locked="0"/>
    </xf>
    <xf numFmtId="0" fontId="1" fillId="10" borderId="30" xfId="0" applyFont="1" applyFill="1" applyBorder="1" applyProtection="1">
      <protection locked="0"/>
    </xf>
    <xf numFmtId="0" fontId="1" fillId="10" borderId="31" xfId="0" applyFont="1" applyFill="1" applyBorder="1" applyProtection="1">
      <protection locked="0"/>
    </xf>
    <xf numFmtId="0" fontId="1" fillId="10" borderId="14" xfId="0" applyFont="1" applyFill="1" applyBorder="1" applyProtection="1">
      <protection locked="0"/>
    </xf>
    <xf numFmtId="0" fontId="7" fillId="18" borderId="0" xfId="0" applyFont="1" applyFill="1" applyProtection="1">
      <protection locked="0"/>
    </xf>
    <xf numFmtId="0" fontId="3" fillId="12" borderId="0" xfId="0" applyFont="1" applyFill="1" applyAlignment="1" applyProtection="1">
      <alignment horizontal="left"/>
      <protection locked="0"/>
    </xf>
    <xf numFmtId="0" fontId="7" fillId="0" borderId="0" xfId="0" applyFont="1" applyAlignment="1" applyProtection="1">
      <alignment vertical="top" wrapText="1"/>
      <protection locked="0"/>
    </xf>
    <xf numFmtId="0" fontId="1" fillId="0" borderId="0" xfId="0" applyFont="1" applyAlignment="1" applyProtection="1">
      <alignment horizontal="left"/>
      <protection locked="0"/>
    </xf>
    <xf numFmtId="0" fontId="1" fillId="16" borderId="28" xfId="0" applyFont="1" applyFill="1" applyBorder="1" applyAlignment="1" applyProtection="1">
      <alignment horizontal="left"/>
      <protection locked="0"/>
    </xf>
    <xf numFmtId="0" fontId="11" fillId="0" borderId="0" xfId="0" applyFont="1" applyAlignment="1" applyProtection="1">
      <alignment horizontal="left"/>
      <protection locked="0"/>
    </xf>
    <xf numFmtId="14" fontId="11" fillId="0" borderId="0" xfId="0" applyNumberFormat="1" applyFont="1" applyAlignment="1" applyProtection="1">
      <alignment horizontal="left"/>
      <protection locked="0"/>
    </xf>
    <xf numFmtId="0" fontId="8" fillId="13" borderId="28" xfId="0" applyFont="1" applyFill="1" applyBorder="1" applyAlignment="1" applyProtection="1">
      <alignment horizontal="left"/>
      <protection locked="0"/>
    </xf>
    <xf numFmtId="0" fontId="8" fillId="14" borderId="29" xfId="0" applyFont="1" applyFill="1" applyBorder="1" applyAlignment="1" applyProtection="1">
      <alignment horizontal="left"/>
      <protection locked="0"/>
    </xf>
    <xf numFmtId="0" fontId="1" fillId="0" borderId="17" xfId="0" applyFont="1" applyBorder="1" applyProtection="1">
      <protection locked="0"/>
    </xf>
    <xf numFmtId="14" fontId="1" fillId="0" borderId="0" xfId="0" applyNumberFormat="1" applyFont="1" applyAlignment="1">
      <alignment horizontal="right"/>
    </xf>
    <xf numFmtId="0" fontId="8" fillId="6" borderId="34" xfId="0" applyFont="1" applyFill="1" applyBorder="1" applyAlignment="1" applyProtection="1">
      <alignment horizontal="center"/>
      <protection locked="0"/>
    </xf>
    <xf numFmtId="1" fontId="7" fillId="0" borderId="0" xfId="0" applyNumberFormat="1" applyFont="1" applyAlignment="1" applyProtection="1">
      <alignment vertical="top" wrapText="1"/>
      <protection locked="0"/>
    </xf>
    <xf numFmtId="1" fontId="1" fillId="0" borderId="0" xfId="0" applyNumberFormat="1" applyFont="1" applyAlignment="1" applyProtection="1">
      <alignment horizontal="left"/>
      <protection locked="0"/>
    </xf>
    <xf numFmtId="1" fontId="3" fillId="12" borderId="0" xfId="0" applyNumberFormat="1" applyFont="1" applyFill="1" applyAlignment="1">
      <alignment horizontal="left"/>
    </xf>
    <xf numFmtId="1" fontId="1" fillId="0" borderId="0" xfId="0" applyNumberFormat="1" applyFont="1" applyAlignment="1">
      <alignment horizontal="right"/>
    </xf>
    <xf numFmtId="1" fontId="7" fillId="18" borderId="0" xfId="0" applyNumberFormat="1" applyFont="1" applyFill="1" applyProtection="1">
      <protection locked="0"/>
    </xf>
    <xf numFmtId="1" fontId="1" fillId="0" borderId="0" xfId="0" applyNumberFormat="1" applyFont="1" applyProtection="1">
      <protection locked="0"/>
    </xf>
    <xf numFmtId="1" fontId="7" fillId="10" borderId="10" xfId="0" applyNumberFormat="1" applyFont="1" applyFill="1" applyBorder="1" applyAlignment="1" applyProtection="1">
      <alignment horizontal="justify" vertical="top" wrapText="1"/>
      <protection locked="0"/>
    </xf>
    <xf numFmtId="1" fontId="1" fillId="10" borderId="10" xfId="0" applyNumberFormat="1" applyFont="1" applyFill="1" applyBorder="1" applyProtection="1">
      <protection locked="0"/>
    </xf>
    <xf numFmtId="0" fontId="2" fillId="0" borderId="0" xfId="0" applyFont="1" applyAlignment="1">
      <alignment vertical="center" wrapText="1"/>
    </xf>
    <xf numFmtId="0" fontId="7" fillId="18" borderId="0" xfId="0" applyFont="1" applyFill="1" applyAlignment="1" applyProtection="1">
      <alignment horizontal="left"/>
      <protection locked="0"/>
    </xf>
    <xf numFmtId="165" fontId="7" fillId="10" borderId="8" xfId="0" applyNumberFormat="1" applyFont="1" applyFill="1" applyBorder="1" applyAlignment="1">
      <alignment horizontal="right"/>
    </xf>
    <xf numFmtId="0" fontId="7" fillId="10" borderId="8" xfId="0" applyFont="1" applyFill="1" applyBorder="1" applyAlignment="1">
      <alignment horizontal="right"/>
    </xf>
    <xf numFmtId="0" fontId="3" fillId="4" borderId="0" xfId="0" applyFont="1" applyFill="1" applyAlignment="1">
      <alignment horizontal="right"/>
    </xf>
    <xf numFmtId="0" fontId="8" fillId="7" borderId="38" xfId="0" applyFont="1" applyFill="1" applyBorder="1" applyAlignment="1" applyProtection="1">
      <alignment horizontal="center"/>
      <protection locked="0"/>
    </xf>
    <xf numFmtId="0" fontId="8" fillId="13" borderId="33" xfId="0" applyFont="1" applyFill="1" applyBorder="1" applyProtection="1">
      <protection locked="0"/>
    </xf>
    <xf numFmtId="1" fontId="8" fillId="13" borderId="33" xfId="0" applyNumberFormat="1" applyFont="1" applyFill="1" applyBorder="1" applyProtection="1">
      <protection locked="0"/>
    </xf>
    <xf numFmtId="0" fontId="8" fillId="13" borderId="32" xfId="0" applyFont="1" applyFill="1" applyBorder="1" applyProtection="1">
      <protection locked="0"/>
    </xf>
    <xf numFmtId="1" fontId="8" fillId="13" borderId="32" xfId="0" applyNumberFormat="1" applyFont="1" applyFill="1" applyBorder="1" applyProtection="1">
      <protection locked="0"/>
    </xf>
    <xf numFmtId="0" fontId="11" fillId="10" borderId="7" xfId="0" applyFont="1" applyFill="1" applyBorder="1" applyProtection="1">
      <protection locked="0"/>
    </xf>
    <xf numFmtId="14" fontId="0" fillId="0" borderId="0" xfId="0" applyNumberFormat="1"/>
    <xf numFmtId="2" fontId="0" fillId="0" borderId="0" xfId="0" applyNumberFormat="1"/>
    <xf numFmtId="0" fontId="1" fillId="0" borderId="0" xfId="0" applyFont="1" applyAlignment="1" applyProtection="1">
      <alignment wrapText="1"/>
      <protection locked="0"/>
    </xf>
    <xf numFmtId="1" fontId="3" fillId="0" borderId="0" xfId="0" applyNumberFormat="1" applyFont="1" applyProtection="1">
      <protection locked="0"/>
    </xf>
    <xf numFmtId="0" fontId="11" fillId="0" borderId="0" xfId="0" applyFont="1" applyAlignment="1" applyProtection="1">
      <alignment horizontal="justify" vertical="top" wrapText="1"/>
      <protection locked="0"/>
    </xf>
    <xf numFmtId="0" fontId="1" fillId="10" borderId="38" xfId="0" applyFont="1" applyFill="1" applyBorder="1" applyProtection="1">
      <protection locked="0"/>
    </xf>
    <xf numFmtId="0" fontId="11" fillId="10" borderId="40" xfId="0" applyFont="1" applyFill="1" applyBorder="1" applyAlignment="1" applyProtection="1">
      <alignment horizontal="justify" vertical="top" wrapText="1"/>
      <protection locked="0"/>
    </xf>
    <xf numFmtId="0" fontId="7" fillId="10" borderId="10" xfId="0" applyFont="1" applyFill="1" applyBorder="1" applyAlignment="1">
      <alignment vertical="top"/>
    </xf>
    <xf numFmtId="0" fontId="15" fillId="0" borderId="0" xfId="0" applyFont="1"/>
    <xf numFmtId="0" fontId="1" fillId="11" borderId="0" xfId="0" applyFont="1" applyFill="1" applyProtection="1">
      <protection locked="0"/>
    </xf>
    <xf numFmtId="1" fontId="1" fillId="11" borderId="0" xfId="0" applyNumberFormat="1" applyFont="1" applyFill="1" applyProtection="1">
      <protection locked="0"/>
    </xf>
    <xf numFmtId="0" fontId="8" fillId="13" borderId="32" xfId="0" applyFont="1" applyFill="1" applyBorder="1" applyAlignment="1" applyProtection="1">
      <alignment vertical="center" wrapText="1"/>
      <protection locked="0"/>
    </xf>
    <xf numFmtId="1" fontId="8" fillId="13" borderId="32" xfId="0" applyNumberFormat="1" applyFont="1" applyFill="1" applyBorder="1" applyAlignment="1" applyProtection="1">
      <alignment vertical="center" wrapText="1"/>
      <protection locked="0"/>
    </xf>
    <xf numFmtId="0" fontId="0" fillId="0" borderId="0" xfId="0" applyProtection="1">
      <protection locked="0"/>
    </xf>
    <xf numFmtId="0" fontId="2" fillId="20" borderId="7" xfId="0" applyFont="1" applyFill="1" applyBorder="1" applyAlignment="1" applyProtection="1">
      <alignment wrapText="1"/>
      <protection locked="0"/>
    </xf>
    <xf numFmtId="0" fontId="10" fillId="18" borderId="0" xfId="0" applyFont="1" applyFill="1" applyAlignment="1">
      <alignment vertical="center" wrapText="1"/>
    </xf>
    <xf numFmtId="0" fontId="13" fillId="11" borderId="0" xfId="0" applyFont="1" applyFill="1"/>
    <xf numFmtId="0" fontId="13" fillId="11" borderId="18" xfId="0" applyFont="1" applyFill="1" applyBorder="1" applyAlignment="1">
      <alignment horizontal="right"/>
    </xf>
    <xf numFmtId="0" fontId="13" fillId="11" borderId="0" xfId="0" applyFont="1" applyFill="1" applyAlignment="1">
      <alignment horizontal="right"/>
    </xf>
    <xf numFmtId="0" fontId="8" fillId="13" borderId="0" xfId="0" applyFont="1" applyFill="1" applyAlignment="1">
      <alignment horizontal="left"/>
    </xf>
    <xf numFmtId="0" fontId="8" fillId="13" borderId="0" xfId="0" applyFont="1" applyFill="1"/>
    <xf numFmtId="0" fontId="8" fillId="14" borderId="0" xfId="0" applyFont="1" applyFill="1" applyAlignment="1">
      <alignment horizontal="left"/>
    </xf>
    <xf numFmtId="0" fontId="8" fillId="14" borderId="0" xfId="0" applyFont="1" applyFill="1"/>
    <xf numFmtId="0" fontId="8" fillId="11" borderId="0" xfId="0" applyFont="1" applyFill="1" applyAlignment="1">
      <alignment horizontal="left" vertical="center"/>
    </xf>
    <xf numFmtId="0" fontId="8" fillId="11" borderId="0" xfId="0" applyFont="1" applyFill="1" applyAlignment="1">
      <alignment horizontal="right" vertical="center"/>
    </xf>
    <xf numFmtId="14" fontId="5" fillId="0" borderId="0" xfId="0" applyNumberFormat="1" applyFont="1" applyAlignment="1" applyProtection="1">
      <alignment horizontal="right"/>
      <protection locked="0"/>
    </xf>
    <xf numFmtId="14" fontId="5" fillId="0" borderId="4" xfId="0" applyNumberFormat="1" applyFont="1" applyBorder="1" applyAlignment="1" applyProtection="1">
      <alignment horizontal="right"/>
      <protection locked="0"/>
    </xf>
    <xf numFmtId="0" fontId="12" fillId="5" borderId="0" xfId="0" applyFont="1" applyFill="1" applyAlignment="1">
      <alignment horizontal="center"/>
    </xf>
    <xf numFmtId="167" fontId="14" fillId="5" borderId="0" xfId="0" applyNumberFormat="1" applyFont="1" applyFill="1" applyAlignment="1">
      <alignment horizontal="left"/>
    </xf>
    <xf numFmtId="0" fontId="8" fillId="6" borderId="35" xfId="0" applyFont="1" applyFill="1" applyBorder="1" applyAlignment="1" applyProtection="1">
      <alignment horizontal="center"/>
      <protection locked="0"/>
    </xf>
    <xf numFmtId="0" fontId="8" fillId="6" borderId="36" xfId="0" applyFont="1" applyFill="1" applyBorder="1" applyAlignment="1" applyProtection="1">
      <alignment horizontal="center"/>
      <protection locked="0"/>
    </xf>
    <xf numFmtId="0" fontId="8" fillId="8" borderId="35" xfId="0" applyFont="1" applyFill="1" applyBorder="1" applyAlignment="1" applyProtection="1">
      <alignment horizontal="center"/>
      <protection locked="0"/>
    </xf>
    <xf numFmtId="0" fontId="8" fillId="8" borderId="37" xfId="0" applyFont="1" applyFill="1" applyBorder="1" applyAlignment="1" applyProtection="1">
      <alignment horizontal="center"/>
      <protection locked="0"/>
    </xf>
    <xf numFmtId="0" fontId="8" fillId="8" borderId="36" xfId="0" applyFont="1" applyFill="1" applyBorder="1" applyAlignment="1" applyProtection="1">
      <alignment horizontal="center"/>
      <protection locked="0"/>
    </xf>
    <xf numFmtId="0" fontId="7" fillId="0" borderId="0" xfId="0" applyFont="1" applyAlignment="1" applyProtection="1">
      <alignment vertical="top" wrapText="1"/>
      <protection locked="0"/>
    </xf>
    <xf numFmtId="0" fontId="8" fillId="19" borderId="9" xfId="0" applyFont="1" applyFill="1" applyBorder="1" applyAlignment="1" applyProtection="1">
      <alignment horizontal="center" vertical="center" wrapText="1"/>
      <protection locked="0"/>
    </xf>
    <xf numFmtId="0" fontId="8" fillId="19" borderId="10" xfId="0" applyFont="1" applyFill="1" applyBorder="1" applyAlignment="1" applyProtection="1">
      <alignment horizontal="center" vertical="center" wrapText="1"/>
      <protection locked="0"/>
    </xf>
    <xf numFmtId="0" fontId="8" fillId="19" borderId="11" xfId="0" applyFont="1" applyFill="1" applyBorder="1" applyAlignment="1" applyProtection="1">
      <alignment horizontal="center" vertical="center" wrapText="1"/>
      <protection locked="0"/>
    </xf>
    <xf numFmtId="0" fontId="8" fillId="19" borderId="30" xfId="0" applyFont="1" applyFill="1" applyBorder="1" applyAlignment="1" applyProtection="1">
      <alignment horizontal="center" vertical="center" wrapText="1"/>
      <protection locked="0"/>
    </xf>
    <xf numFmtId="0" fontId="8" fillId="19" borderId="0" xfId="0" applyFont="1" applyFill="1" applyAlignment="1" applyProtection="1">
      <alignment horizontal="center" vertical="center" wrapText="1"/>
      <protection locked="0"/>
    </xf>
    <xf numFmtId="0" fontId="8" fillId="19" borderId="31" xfId="0" applyFont="1" applyFill="1" applyBorder="1" applyAlignment="1" applyProtection="1">
      <alignment horizontal="center" vertical="center" wrapText="1"/>
      <protection locked="0"/>
    </xf>
    <xf numFmtId="0" fontId="8" fillId="19" borderId="12" xfId="0" applyFont="1" applyFill="1" applyBorder="1" applyAlignment="1" applyProtection="1">
      <alignment horizontal="center" vertical="center" wrapText="1"/>
      <protection locked="0"/>
    </xf>
    <xf numFmtId="0" fontId="8" fillId="19" borderId="13" xfId="0" applyFont="1" applyFill="1" applyBorder="1" applyAlignment="1" applyProtection="1">
      <alignment horizontal="center" vertical="center" wrapText="1"/>
      <protection locked="0"/>
    </xf>
    <xf numFmtId="0" fontId="8" fillId="19" borderId="14" xfId="0" applyFont="1" applyFill="1" applyBorder="1" applyAlignment="1" applyProtection="1">
      <alignment horizontal="center" vertical="center" wrapText="1"/>
      <protection locked="0"/>
    </xf>
    <xf numFmtId="0" fontId="11" fillId="0" borderId="0" xfId="0" applyFont="1" applyAlignment="1" applyProtection="1">
      <alignment horizontal="justify" vertical="top" wrapText="1"/>
      <protection locked="0"/>
    </xf>
    <xf numFmtId="0" fontId="7" fillId="0" borderId="0" xfId="0" applyFont="1" applyProtection="1">
      <protection locked="0"/>
    </xf>
    <xf numFmtId="0" fontId="1" fillId="10" borderId="13" xfId="0" applyFont="1" applyFill="1" applyBorder="1" applyAlignment="1" applyProtection="1">
      <alignment horizontal="justify" vertical="top" wrapText="1"/>
      <protection locked="0"/>
    </xf>
    <xf numFmtId="0" fontId="11" fillId="10" borderId="0" xfId="0" applyFont="1" applyFill="1" applyAlignment="1">
      <alignment vertical="top" wrapText="1"/>
    </xf>
    <xf numFmtId="0" fontId="11" fillId="10" borderId="13" xfId="0" applyFont="1" applyFill="1" applyBorder="1" applyAlignment="1">
      <alignment vertical="top" wrapText="1"/>
    </xf>
    <xf numFmtId="0" fontId="7" fillId="10" borderId="10" xfId="0" applyFont="1" applyFill="1" applyBorder="1" applyProtection="1">
      <protection locked="0"/>
    </xf>
    <xf numFmtId="0" fontId="1" fillId="10" borderId="39" xfId="0" applyFont="1" applyFill="1" applyBorder="1" applyAlignment="1" applyProtection="1">
      <alignment horizontal="justify" vertical="top" wrapText="1"/>
      <protection locked="0"/>
    </xf>
  </cellXfs>
  <cellStyles count="1">
    <cellStyle name="Normal" xfId="0" builtinId="0"/>
  </cellStyles>
  <dxfs count="77">
    <dxf>
      <fill>
        <patternFill>
          <bgColor theme="9" tint="0.39994506668294322"/>
        </patternFill>
      </fill>
    </dxf>
    <dxf>
      <font>
        <b/>
        <i val="0"/>
        <color theme="0"/>
      </font>
      <fill>
        <patternFill>
          <bgColor rgb="FFFF9999"/>
        </patternFill>
      </fill>
    </dxf>
    <dxf>
      <font>
        <b/>
        <i val="0"/>
        <color theme="0"/>
      </font>
      <fill>
        <patternFill>
          <bgColor rgb="FFFF5D61"/>
        </patternFill>
      </fill>
    </dxf>
    <dxf>
      <fill>
        <patternFill>
          <bgColor theme="5" tint="0.39994506668294322"/>
        </patternFill>
      </fill>
      <border>
        <left style="thin">
          <color theme="5" tint="-0.499984740745262"/>
        </left>
        <right style="thin">
          <color theme="5" tint="-0.499984740745262"/>
        </right>
        <top style="thin">
          <color theme="5" tint="-0.499984740745262"/>
        </top>
        <bottom style="thin">
          <color theme="5" tint="-0.499984740745262"/>
        </bottom>
      </border>
    </dxf>
    <dxf>
      <fill>
        <patternFill patternType="solid">
          <bgColor theme="5" tint="0.59996337778862885"/>
        </patternFill>
      </fill>
      <border>
        <left style="thin">
          <color theme="5" tint="-0.499984740745262"/>
        </left>
        <right style="thin">
          <color theme="5" tint="-0.499984740745262"/>
        </right>
        <top style="thin">
          <color theme="5" tint="-0.499984740745262"/>
        </top>
        <bottom style="thin">
          <color theme="5" tint="-0.499984740745262"/>
        </bottom>
      </border>
    </dxf>
    <dxf>
      <font>
        <b/>
        <i val="0"/>
        <strike val="0"/>
        <condense val="0"/>
        <extend val="0"/>
        <outline val="0"/>
        <shadow val="0"/>
        <u val="none"/>
        <vertAlign val="baseline"/>
        <sz val="12"/>
        <color theme="0"/>
        <name val="Calibri"/>
        <family val="2"/>
        <scheme val="minor"/>
      </font>
      <numFmt numFmtId="1" formatCode="0"/>
      <fill>
        <patternFill patternType="solid">
          <fgColor indexed="64"/>
          <bgColor rgb="FFFF9999"/>
        </patternFill>
      </fill>
      <alignment horizontal="general" vertical="center" textRotation="0" wrapText="1" indent="0" justifyLastLine="0" shrinkToFit="0" readingOrder="0"/>
      <border diagonalUp="0" diagonalDown="0" outline="0">
        <left/>
        <right/>
        <top style="thin">
          <color rgb="FFC00000"/>
        </top>
        <bottom style="thin">
          <color rgb="FFC00000"/>
        </bottom>
      </border>
      <protection locked="0" hidden="0"/>
    </dxf>
    <dxf>
      <font>
        <b/>
        <i val="0"/>
        <strike val="0"/>
        <condense val="0"/>
        <extend val="0"/>
        <outline val="0"/>
        <shadow val="0"/>
        <u val="none"/>
        <vertAlign val="baseline"/>
        <sz val="12"/>
        <color theme="0"/>
        <name val="Calibri"/>
        <family val="2"/>
        <scheme val="minor"/>
      </font>
      <fill>
        <patternFill patternType="solid">
          <fgColor indexed="64"/>
          <bgColor rgb="FFFF9999"/>
        </patternFill>
      </fill>
      <alignment horizontal="general" vertical="center" textRotation="0" wrapText="1" indent="0" justifyLastLine="0" shrinkToFit="0" readingOrder="0"/>
      <border diagonalUp="0" diagonalDown="0" outline="0">
        <left/>
        <right/>
        <top style="thin">
          <color rgb="FFC00000"/>
        </top>
        <bottom style="thin">
          <color rgb="FFC00000"/>
        </bottom>
      </border>
      <protection locked="0" hidden="0"/>
    </dxf>
    <dxf>
      <font>
        <b/>
        <i val="0"/>
        <strike val="0"/>
        <condense val="0"/>
        <extend val="0"/>
        <outline val="0"/>
        <shadow val="0"/>
        <u val="none"/>
        <vertAlign val="baseline"/>
        <sz val="12"/>
        <color theme="0"/>
        <name val="Calibri"/>
        <family val="2"/>
        <scheme val="minor"/>
      </font>
      <fill>
        <patternFill patternType="solid">
          <fgColor indexed="64"/>
          <bgColor rgb="FFFF9999"/>
        </patternFill>
      </fill>
      <alignment horizontal="general" vertical="center" textRotation="0" wrapText="1" indent="0" justifyLastLine="0" shrinkToFit="0" readingOrder="0"/>
      <border diagonalUp="0" diagonalDown="0" outline="0">
        <left/>
        <right/>
        <top style="thin">
          <color rgb="FFC00000"/>
        </top>
        <bottom style="thin">
          <color rgb="FFC00000"/>
        </bottom>
      </border>
      <protection locked="0" hidden="0"/>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Calibri"/>
        <family val="2"/>
        <scheme val="minor"/>
      </font>
      <fill>
        <patternFill patternType="solid">
          <fgColor indexed="64"/>
          <bgColor rgb="FFFF9999"/>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rgb="FFC00000"/>
        </patternFill>
      </fill>
      <protection locked="0" hidden="0"/>
    </dxf>
    <dxf>
      <font>
        <strike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minor"/>
      </font>
      <protection locked="0" hidden="0"/>
    </dxf>
    <dxf>
      <font>
        <strike val="0"/>
        <outline val="0"/>
        <shadow val="0"/>
        <u val="none"/>
        <vertAlign val="baseline"/>
        <sz val="14"/>
        <color auto="1"/>
        <name val="Calibri"/>
        <family val="2"/>
        <scheme val="minor"/>
      </font>
      <fill>
        <patternFill patternType="solid">
          <fgColor indexed="64"/>
          <bgColor theme="4"/>
        </patternFill>
      </fill>
      <alignment horizontal="left" vertical="bottom" textRotation="0" wrapText="0" indent="0" justifyLastLine="0" shrinkToFit="0" readingOrder="0"/>
      <protection locked="0" hidden="0"/>
    </dxf>
    <dxf>
      <font>
        <strike val="0"/>
        <outline val="0"/>
        <shadow val="0"/>
        <u val="none"/>
        <vertAlign val="baseline"/>
        <sz val="12"/>
        <name val="Calibri"/>
        <family val="2"/>
        <scheme val="minor"/>
      </font>
      <fill>
        <patternFill patternType="solid">
          <fgColor indexed="64"/>
          <bgColor theme="5" tint="0.79998168889431442"/>
        </patternFill>
      </fill>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fill>
        <patternFill patternType="solid">
          <fgColor indexed="64"/>
          <bgColor theme="5" tint="0.79998168889431442"/>
        </patternFill>
      </fill>
    </dxf>
    <dxf>
      <font>
        <b/>
        <i val="0"/>
        <strike val="0"/>
        <condense val="0"/>
        <extend val="0"/>
        <outline val="0"/>
        <shadow val="0"/>
        <u val="none"/>
        <vertAlign val="baseline"/>
        <sz val="14"/>
        <color auto="1"/>
        <name val="Calibri"/>
        <family val="2"/>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2"/>
        <name val="Calibri"/>
        <family val="2"/>
        <scheme val="minor"/>
      </font>
      <fill>
        <patternFill patternType="solid">
          <fgColor indexed="64"/>
          <bgColor theme="5" tint="0.79998168889431442"/>
        </patternFill>
      </fill>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fill>
        <patternFill patternType="solid">
          <fgColor indexed="64"/>
          <bgColor theme="5" tint="0.79998168889431442"/>
        </patternFill>
      </fill>
    </dxf>
    <dxf>
      <font>
        <b/>
        <i val="0"/>
        <strike val="0"/>
        <condense val="0"/>
        <extend val="0"/>
        <outline val="0"/>
        <shadow val="0"/>
        <u val="none"/>
        <vertAlign val="baseline"/>
        <sz val="14"/>
        <color auto="1"/>
        <name val="Calibri"/>
        <family val="2"/>
        <scheme val="minor"/>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center" textRotation="0" wrapText="1" indent="0" justifyLastLine="0" shrinkToFit="0" readingOrder="0"/>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2"/>
        <color auto="1"/>
        <name val="Calibri"/>
        <family val="2"/>
        <scheme val="minor"/>
      </font>
      <fill>
        <patternFill patternType="none">
          <fgColor rgb="FF000000"/>
          <bgColor rgb="FFFFFFFF"/>
        </patternFill>
      </fill>
      <alignment horizontal="general" vertical="center" textRotation="0" wrapText="1" indent="0" justifyLastLine="0" shrinkToFit="0" readingOrder="0"/>
    </dxf>
    <dxf>
      <font>
        <b/>
        <i val="0"/>
        <strike val="0"/>
        <condense val="0"/>
        <extend val="0"/>
        <outline val="0"/>
        <shadow val="0"/>
        <u val="none"/>
        <vertAlign val="baseline"/>
        <sz val="14"/>
        <color auto="1"/>
        <name val="Calibri"/>
        <family val="2"/>
        <scheme val="minor"/>
      </font>
      <fill>
        <patternFill patternType="solid">
          <fgColor indexed="64"/>
          <bgColor theme="2" tint="-0.249977111117893"/>
        </patternFill>
      </fill>
      <alignment horizontal="general" vertical="center" textRotation="0" wrapText="1" indent="0" justifyLastLine="0" shrinkToFit="0" readingOrder="0"/>
    </dxf>
    <dxf>
      <font>
        <strike val="0"/>
        <outline val="0"/>
        <shadow val="0"/>
        <u val="none"/>
        <vertAlign val="baseline"/>
        <sz val="12"/>
        <color theme="1"/>
        <name val="Calibri"/>
        <family val="2"/>
        <scheme val="minor"/>
      </font>
      <numFmt numFmtId="1" formatCode="0"/>
      <protection locked="0" hidden="0"/>
    </dxf>
    <dxf>
      <font>
        <strike val="0"/>
        <outline val="0"/>
        <shadow val="0"/>
        <u val="none"/>
        <vertAlign val="baseline"/>
        <sz val="12"/>
        <color theme="1"/>
        <name val="Calibri"/>
        <family val="2"/>
        <scheme val="minor"/>
      </font>
      <protection locked="0" hidden="0"/>
    </dxf>
    <dxf>
      <font>
        <strike val="0"/>
        <outline val="0"/>
        <shadow val="0"/>
        <u val="none"/>
        <vertAlign val="baseline"/>
        <sz val="12"/>
        <color theme="1"/>
        <name val="Calibri"/>
        <family val="2"/>
        <scheme val="minor"/>
      </font>
      <protection locked="0" hidden="0"/>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sz val="12"/>
        <color rgb="FF000000"/>
        <name val="Calibri"/>
        <family val="2"/>
        <scheme val="minor"/>
      </font>
      <protection locked="0" hidden="0"/>
    </dxf>
    <dxf>
      <font>
        <b/>
        <strike val="0"/>
        <outline val="0"/>
        <shadow val="0"/>
        <u val="none"/>
        <vertAlign val="baseline"/>
        <sz val="14"/>
        <color theme="1"/>
        <name val="Calibri"/>
        <family val="2"/>
        <scheme val="minor"/>
      </font>
      <fill>
        <patternFill patternType="solid">
          <fgColor indexed="64"/>
          <bgColor theme="2" tint="-0.249977111117893"/>
        </patternFill>
      </fill>
      <protection locked="0" hidden="0"/>
    </dxf>
    <dxf>
      <font>
        <strike val="0"/>
        <outline val="0"/>
        <shadow val="0"/>
        <u val="none"/>
        <vertAlign val="baseline"/>
        <sz val="12"/>
        <color theme="1"/>
        <name val="Calibri"/>
        <family val="2"/>
        <scheme val="minor"/>
      </font>
      <numFmt numFmtId="0" formatCode="General"/>
      <fill>
        <patternFill patternType="none">
          <fgColor indexed="64"/>
          <bgColor indexed="65"/>
        </patternFill>
      </fill>
      <protection locked="0" hidden="0"/>
    </dxf>
    <dxf>
      <font>
        <strike val="0"/>
        <outline val="0"/>
        <shadow val="0"/>
        <u val="none"/>
        <vertAlign val="baseline"/>
        <sz val="12"/>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2"/>
        <color theme="1"/>
        <name val="Calibri"/>
        <family val="2"/>
        <scheme val="minor"/>
      </font>
      <numFmt numFmtId="19" formatCode="dd/mm/yyyy"/>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1" formatCode="0"/>
      <alignment horizontal="right" vertical="bottom" textRotation="0" wrapText="0" indent="0" justifyLastLine="0" shrinkToFit="0" readingOrder="0"/>
      <protection locked="1" hidden="0"/>
    </dxf>
    <dxf>
      <font>
        <strike val="0"/>
        <outline val="0"/>
        <shadow val="0"/>
        <u val="none"/>
        <vertAlign val="baseline"/>
        <sz val="12"/>
        <color theme="1"/>
        <name val="Calibri"/>
        <family val="2"/>
        <scheme val="minor"/>
      </font>
      <fill>
        <patternFill patternType="none">
          <fgColor indexed="64"/>
          <bgColor indexed="65"/>
        </patternFill>
      </fill>
      <protection locked="0" hidden="0"/>
    </dxf>
    <dxf>
      <font>
        <strike val="0"/>
        <outline val="0"/>
        <shadow val="0"/>
        <u val="none"/>
        <vertAlign val="baseline"/>
        <sz val="12"/>
        <color theme="1"/>
        <name val="Calibri"/>
        <family val="2"/>
        <scheme val="minor"/>
      </font>
      <numFmt numFmtId="19" formatCode="dd/mm/yyyy"/>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sz val="12"/>
        <color theme="1"/>
        <name val="Calibri"/>
        <family val="2"/>
        <scheme val="minor"/>
      </font>
      <numFmt numFmtId="19" formatCode="dd/mm/yyyy"/>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sz val="12"/>
        <color theme="1"/>
        <name val="Calibri"/>
        <family val="2"/>
        <scheme val="minor"/>
      </font>
      <numFmt numFmtId="19" formatCode="dd/mm/yyyy"/>
      <fill>
        <patternFill patternType="none">
          <fgColor indexed="64"/>
          <bgColor indexed="65"/>
        </patternFill>
      </fill>
      <alignment horizontal="left" vertical="bottom"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minor"/>
      </font>
      <fill>
        <patternFill patternType="none">
          <fgColor indexed="64"/>
          <bgColor indexed="65"/>
        </patternFill>
      </fill>
      <protection locked="0" hidden="0"/>
    </dxf>
    <dxf>
      <font>
        <strike val="0"/>
        <outline val="0"/>
        <shadow val="0"/>
        <u val="none"/>
        <vertAlign val="baseline"/>
        <sz val="14"/>
        <color theme="1"/>
        <name val="Calibri"/>
        <family val="2"/>
        <scheme val="minor"/>
      </font>
      <fill>
        <patternFill patternType="solid">
          <fgColor indexed="64"/>
          <bgColor theme="2" tint="-9.9978637043366805E-2"/>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2"/>
        <color theme="1"/>
        <name val="Calibri"/>
        <family val="2"/>
        <scheme val="minor"/>
      </font>
      <numFmt numFmtId="19" formatCode="dd/mm/yyyy"/>
      <alignment horizontal="center" vertical="bottom" textRotation="0" wrapText="0" indent="0" justifyLastLine="0" shrinkToFit="0" readingOrder="0"/>
      <protection locked="0" hidden="0"/>
    </dxf>
    <dxf>
      <font>
        <strike val="0"/>
        <outline val="0"/>
        <shadow val="0"/>
        <u val="none"/>
        <vertAlign val="baseline"/>
        <sz val="14"/>
        <color auto="1"/>
        <name val="Calibri"/>
        <family val="2"/>
        <scheme val="minor"/>
      </font>
      <fill>
        <patternFill patternType="none">
          <fgColor indexed="64"/>
          <bgColor auto="1"/>
        </patternFill>
      </fill>
    </dxf>
    <dxf>
      <font>
        <b val="0"/>
        <i val="0"/>
        <strike val="0"/>
        <condense val="0"/>
        <extend val="0"/>
        <outline val="0"/>
        <shadow val="0"/>
        <u val="none"/>
        <vertAlign val="baseline"/>
        <sz val="12"/>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protection locked="1" hidden="0"/>
    </dxf>
    <dxf>
      <font>
        <b val="0"/>
        <i val="0"/>
        <strike val="0"/>
        <condense val="0"/>
        <extend val="0"/>
        <outline val="0"/>
        <shadow val="0"/>
        <u val="none"/>
        <vertAlign val="baseline"/>
        <sz val="12"/>
        <color theme="1"/>
        <name val="Calibri"/>
        <family val="2"/>
        <scheme val="minor"/>
      </font>
      <numFmt numFmtId="0" formatCode="General"/>
      <fill>
        <patternFill patternType="solid">
          <fgColor indexed="64"/>
          <bgColor theme="0"/>
        </patternFill>
      </fill>
      <protection locked="1" hidden="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right/>
        <top/>
        <bottom/>
      </border>
    </dxf>
    <dxf>
      <font>
        <strike val="0"/>
        <outline val="0"/>
        <shadow val="0"/>
        <u val="none"/>
        <vertAlign val="baseline"/>
        <sz val="12"/>
        <name val="Calibri"/>
        <family val="2"/>
        <scheme val="minor"/>
      </font>
      <alignment horizontal="left" vertical="bottom" textRotation="0" wrapText="0" indent="0" justifyLastLine="0" shrinkToFit="0" readingOrder="0"/>
      <protection locked="1" hidden="0"/>
    </dxf>
    <dxf>
      <border diagonalUp="0" diagonalDown="0">
        <left style="slantDashDot">
          <color rgb="FFC00000"/>
        </left>
        <right style="slantDashDot">
          <color rgb="FFC00000"/>
        </right>
        <top style="slantDashDot">
          <color rgb="FFC00000"/>
        </top>
        <bottom style="slantDashDot">
          <color rgb="FFC00000"/>
        </bottom>
      </border>
    </dxf>
    <dxf>
      <font>
        <strike val="0"/>
        <outline val="0"/>
        <shadow val="0"/>
        <u val="none"/>
        <vertAlign val="baseline"/>
        <sz val="12"/>
        <name val="Calibri"/>
        <family val="2"/>
        <scheme val="minor"/>
      </font>
      <protection locked="1" hidden="0"/>
    </dxf>
    <dxf>
      <font>
        <b val="0"/>
        <i val="0"/>
        <strike val="0"/>
        <condense val="0"/>
        <extend val="0"/>
        <outline val="0"/>
        <shadow val="0"/>
        <u val="none"/>
        <vertAlign val="baseline"/>
        <sz val="14"/>
        <color theme="0"/>
        <name val="Calibri"/>
        <family val="2"/>
        <scheme val="minor"/>
      </font>
      <fill>
        <patternFill patternType="solid">
          <fgColor indexed="64"/>
          <bgColor rgb="FFC00000"/>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2"/>
        <color theme="1"/>
        <name val="Calibri"/>
        <family val="2"/>
        <scheme val="minor"/>
      </font>
      <numFmt numFmtId="165" formatCode="0.0"/>
      <fill>
        <patternFill patternType="none">
          <fgColor indexed="64"/>
          <bgColor auto="1"/>
        </patternFill>
      </fill>
      <protection locked="1" hidden="0"/>
    </dxf>
    <dxf>
      <font>
        <b val="0"/>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border diagonalUp="0" diagonalDown="0">
        <left style="slantDashDot">
          <color theme="0" tint="-0.499984740745262"/>
        </left>
        <right style="slantDashDot">
          <color theme="0" tint="-0.499984740745262"/>
        </right>
        <top style="slantDashDot">
          <color theme="0" tint="-0.499984740745262"/>
        </top>
        <bottom style="slantDashDot">
          <color theme="0" tint="-0.499984740745262"/>
        </bottom>
      </border>
    </dxf>
    <dxf>
      <fill>
        <patternFill patternType="none">
          <fgColor indexed="64"/>
          <bgColor auto="1"/>
        </patternFill>
      </fill>
      <protection locked="1" hidden="0"/>
    </dxf>
    <dxf>
      <border>
        <bottom style="thin">
          <color indexed="64"/>
        </bottom>
      </border>
    </dxf>
    <dxf>
      <font>
        <strike val="0"/>
        <outline val="0"/>
        <shadow val="0"/>
        <u val="none"/>
        <vertAlign val="baseline"/>
        <sz val="14"/>
        <color theme="1"/>
        <name val="Calibri"/>
        <family val="2"/>
        <scheme val="minor"/>
      </font>
      <fill>
        <patternFill patternType="solid">
          <fgColor indexed="64"/>
          <bgColor theme="0" tint="-0.14999847407452621"/>
        </patternFill>
      </fill>
      <border diagonalUp="0" diagonalDown="0">
        <left/>
        <right/>
        <top/>
        <bottom/>
      </border>
      <protection locked="1" hidden="0"/>
    </dxf>
    <dxf>
      <font>
        <b val="0"/>
        <i val="0"/>
        <strike val="0"/>
        <condense val="0"/>
        <extend val="0"/>
        <outline val="0"/>
        <shadow val="0"/>
        <u val="none"/>
        <vertAlign val="baseline"/>
        <sz val="12"/>
        <color theme="1"/>
        <name val="Calibri"/>
        <family val="2"/>
        <scheme val="minor"/>
      </font>
      <fill>
        <patternFill patternType="solid">
          <fgColor indexed="64"/>
          <bgColor theme="5" tint="0.39997558519241921"/>
        </patternFill>
      </fill>
      <protection locked="1" hidden="0"/>
    </dxf>
    <dxf>
      <font>
        <b val="0"/>
        <i val="0"/>
        <strike val="0"/>
        <condense val="0"/>
        <extend val="0"/>
        <outline val="0"/>
        <shadow val="0"/>
        <u val="none"/>
        <vertAlign val="baseline"/>
        <sz val="12"/>
        <color theme="1"/>
        <name val="Calibri"/>
        <family val="2"/>
        <scheme val="minor"/>
      </font>
      <numFmt numFmtId="166" formatCode="0.0;\-0.0;;"/>
      <fill>
        <patternFill patternType="none">
          <fgColor indexed="64"/>
          <bgColor auto="1"/>
        </patternFill>
      </fill>
      <protection locked="1" hidden="0"/>
    </dxf>
    <dxf>
      <font>
        <b val="0"/>
        <i val="0"/>
        <strike val="0"/>
        <condense val="0"/>
        <extend val="0"/>
        <outline val="0"/>
        <shadow val="0"/>
        <u val="none"/>
        <vertAlign val="baseline"/>
        <sz val="12"/>
        <color theme="1"/>
        <name val="Calibri"/>
        <family val="2"/>
        <scheme val="minor"/>
      </font>
      <fill>
        <patternFill patternType="solid">
          <fgColor indexed="64"/>
          <bgColor theme="5" tint="0.39997558519241921"/>
        </patternFill>
      </fill>
      <protection locked="1" hidden="0"/>
    </dxf>
    <dxf>
      <font>
        <b val="0"/>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fill>
        <patternFill patternType="solid">
          <fgColor indexed="64"/>
          <bgColor theme="5" tint="0.39997558519241921"/>
        </patternFill>
      </fill>
      <protection locked="1" hidden="0"/>
    </dxf>
    <dxf>
      <font>
        <b val="0"/>
        <i val="0"/>
        <strike val="0"/>
        <condense val="0"/>
        <extend val="0"/>
        <outline val="0"/>
        <shadow val="0"/>
        <u val="none"/>
        <vertAlign val="baseline"/>
        <sz val="11"/>
        <color theme="1"/>
        <name val="Calibri"/>
        <family val="2"/>
        <scheme val="minor"/>
      </font>
      <numFmt numFmtId="164" formatCode="mmm\ yyyy"/>
      <fill>
        <patternFill patternType="none">
          <fgColor indexed="64"/>
          <bgColor auto="1"/>
        </patternFill>
      </fill>
      <protection locked="1" hidden="0"/>
    </dxf>
    <dxf>
      <fill>
        <patternFill patternType="solid">
          <fgColor indexed="64"/>
          <bgColor theme="5" tint="0.39997558519241921"/>
        </patternFill>
      </fill>
      <protection locked="1" hidden="0"/>
    </dxf>
    <dxf>
      <border diagonalUp="0" diagonalDown="0">
        <left style="slantDashDot">
          <color theme="5" tint="-0.24994659260841701"/>
        </left>
        <right style="slantDashDot">
          <color theme="5" tint="-0.24994659260841701"/>
        </right>
        <top style="slantDashDot">
          <color theme="5" tint="-0.24994659260841701"/>
        </top>
        <bottom style="slantDashDot">
          <color theme="5" tint="-0.24994659260841701"/>
        </bottom>
      </border>
    </dxf>
    <dxf>
      <fill>
        <patternFill patternType="none">
          <fgColor indexed="64"/>
          <bgColor auto="1"/>
        </patternFill>
      </fill>
      <protection locked="1" hidden="0"/>
    </dxf>
    <dxf>
      <font>
        <strike val="0"/>
        <outline val="0"/>
        <shadow val="0"/>
        <u val="none"/>
        <vertAlign val="baseline"/>
        <sz val="14"/>
        <color theme="1"/>
        <name val="Calibri"/>
        <family val="2"/>
        <scheme val="minor"/>
      </font>
      <fill>
        <patternFill patternType="solid">
          <fgColor indexed="64"/>
          <bgColor theme="5" tint="0.39997558519241921"/>
        </patternFill>
      </fill>
      <border diagonalUp="0" diagonalDown="0">
        <left style="hair">
          <color indexed="64"/>
        </left>
        <right style="hair">
          <color indexed="64"/>
        </right>
        <top/>
        <bottom/>
      </border>
      <protection locked="1" hidden="0"/>
    </dxf>
  </dxfs>
  <tableStyles count="0" defaultTableStyle="TableStyleMedium2" defaultPivotStyle="PivotStyleLight16"/>
  <colors>
    <mruColors>
      <color rgb="FFFF9999"/>
      <color rgb="FFFF5D61"/>
      <color rgb="FFFF7C80"/>
      <color rgb="FFFF5050"/>
      <color rgb="FFFF9966"/>
      <color rgb="FFD8BEEC"/>
      <color rgb="FFC39B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Booked holidays by months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manualLayout>
          <c:layoutTarget val="inner"/>
          <c:xMode val="edge"/>
          <c:yMode val="edge"/>
          <c:x val="5.1223155929038283E-2"/>
          <c:y val="7.20292395882947E-2"/>
          <c:w val="0.92823529411764705"/>
          <c:h val="0.7902494819726481"/>
        </c:manualLayout>
      </c:layout>
      <c:barChart>
        <c:barDir val="col"/>
        <c:grouping val="clustered"/>
        <c:varyColors val="0"/>
        <c:ser>
          <c:idx val="1"/>
          <c:order val="1"/>
          <c:tx>
            <c:strRef>
              <c:f>Dashboard!$D$17</c:f>
              <c:strCache>
                <c:ptCount val="1"/>
                <c:pt idx="0">
                  <c:v>Hours</c:v>
                </c:pt>
              </c:strCache>
            </c:strRef>
          </c:tx>
          <c:spPr>
            <a:solidFill>
              <a:schemeClr val="accent2"/>
            </a:soli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Dashboard!$B$18:$B$30</c:f>
              <c:strCache>
                <c:ptCount val="13"/>
                <c:pt idx="0">
                  <c:v>Apr 2026</c:v>
                </c:pt>
                <c:pt idx="1">
                  <c:v>May 2026</c:v>
                </c:pt>
                <c:pt idx="2">
                  <c:v>Jun 2026</c:v>
                </c:pt>
                <c:pt idx="3">
                  <c:v>Jul 2026</c:v>
                </c:pt>
                <c:pt idx="4">
                  <c:v>Aug 2026</c:v>
                </c:pt>
                <c:pt idx="5">
                  <c:v>Sep 2026</c:v>
                </c:pt>
                <c:pt idx="6">
                  <c:v>Oct 2026</c:v>
                </c:pt>
                <c:pt idx="7">
                  <c:v>Nov 2026</c:v>
                </c:pt>
                <c:pt idx="8">
                  <c:v>Dec 2026</c:v>
                </c:pt>
                <c:pt idx="9">
                  <c:v>Jan 2027</c:v>
                </c:pt>
                <c:pt idx="10">
                  <c:v>Feb 2027</c:v>
                </c:pt>
                <c:pt idx="11">
                  <c:v>Mar 2027</c:v>
                </c:pt>
                <c:pt idx="12">
                  <c:v>Apr 2027</c:v>
                </c:pt>
              </c:strCache>
            </c:strRef>
          </c:cat>
          <c:val>
            <c:numRef>
              <c:f>Dashboard!$D$18:$D$30</c:f>
              <c:numCache>
                <c:formatCode>0.0;\-0.0;;</c:formatCode>
                <c:ptCount val="13"/>
                <c:pt idx="0">
                  <c:v>7.5</c:v>
                </c:pt>
                <c:pt idx="1">
                  <c:v>7.5</c:v>
                </c:pt>
                <c:pt idx="2">
                  <c:v>37.5</c:v>
                </c:pt>
                <c:pt idx="3">
                  <c:v>7.5</c:v>
                </c:pt>
                <c:pt idx="4">
                  <c:v>22.5</c:v>
                </c:pt>
                <c:pt idx="5">
                  <c:v>7.5</c:v>
                </c:pt>
                <c:pt idx="6">
                  <c:v>37.5</c:v>
                </c:pt>
                <c:pt idx="7">
                  <c:v>0</c:v>
                </c:pt>
                <c:pt idx="8">
                  <c:v>37.5</c:v>
                </c:pt>
                <c:pt idx="9">
                  <c:v>0</c:v>
                </c:pt>
                <c:pt idx="10">
                  <c:v>37.5</c:v>
                </c:pt>
                <c:pt idx="11">
                  <c:v>3.75</c:v>
                </c:pt>
                <c:pt idx="12">
                  <c:v>0</c:v>
                </c:pt>
              </c:numCache>
            </c:numRef>
          </c:val>
          <c:extLst>
            <c:ext xmlns:c16="http://schemas.microsoft.com/office/drawing/2014/chart" uri="{C3380CC4-5D6E-409C-BE32-E72D297353CC}">
              <c16:uniqueId val="{00000002-328C-4956-A5EA-67C01B56FE88}"/>
            </c:ext>
          </c:extLst>
        </c:ser>
        <c:dLbls>
          <c:dLblPos val="inEnd"/>
          <c:showLegendKey val="0"/>
          <c:showVal val="1"/>
          <c:showCatName val="0"/>
          <c:showSerName val="0"/>
          <c:showPercent val="0"/>
          <c:showBubbleSize val="0"/>
        </c:dLbls>
        <c:gapWidth val="40"/>
        <c:axId val="717368464"/>
        <c:axId val="717370264"/>
        <c:extLst>
          <c:ext xmlns:c15="http://schemas.microsoft.com/office/drawing/2012/chart" uri="{02D57815-91ED-43cb-92C2-25804820EDAC}">
            <c15:filteredBarSeries>
              <c15:ser>
                <c:idx val="0"/>
                <c:order val="0"/>
                <c:tx>
                  <c:strRef>
                    <c:extLst>
                      <c:ext uri="{02D57815-91ED-43cb-92C2-25804820EDAC}">
                        <c15:formulaRef>
                          <c15:sqref>Dashboard!$C$17</c15:sqref>
                        </c15:formulaRef>
                      </c:ext>
                    </c:extLst>
                    <c:strCache>
                      <c:ptCount val="1"/>
                      <c:pt idx="0">
                        <c:v>Count</c:v>
                      </c:pt>
                    </c:strCache>
                  </c:strRef>
                </c:tx>
                <c:spPr>
                  <a:gradFill>
                    <a:gsLst>
                      <a:gs pos="0">
                        <a:schemeClr val="accent2"/>
                      </a:gs>
                      <a:gs pos="100000">
                        <a:schemeClr val="accent2">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11"/>
                  <c:invertIfNegative val="0"/>
                  <c:bubble3D val="0"/>
                  <c:extLst>
                    <c:ext xmlns:c16="http://schemas.microsoft.com/office/drawing/2014/chart" uri="{C3380CC4-5D6E-409C-BE32-E72D297353CC}">
                      <c16:uniqueId val="{00000000-328C-4956-A5EA-67C01B56FE88}"/>
                    </c:ext>
                  </c:extLst>
                </c:dPt>
                <c:dLbls>
                  <c:numFmt formatCode="0.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Dashboard!$B$18:$B$30</c15:sqref>
                        </c15:formulaRef>
                      </c:ext>
                    </c:extLst>
                    <c:strCache>
                      <c:ptCount val="13"/>
                      <c:pt idx="0">
                        <c:v>Apr 2026</c:v>
                      </c:pt>
                      <c:pt idx="1">
                        <c:v>May 2026</c:v>
                      </c:pt>
                      <c:pt idx="2">
                        <c:v>Jun 2026</c:v>
                      </c:pt>
                      <c:pt idx="3">
                        <c:v>Jul 2026</c:v>
                      </c:pt>
                      <c:pt idx="4">
                        <c:v>Aug 2026</c:v>
                      </c:pt>
                      <c:pt idx="5">
                        <c:v>Sep 2026</c:v>
                      </c:pt>
                      <c:pt idx="6">
                        <c:v>Oct 2026</c:v>
                      </c:pt>
                      <c:pt idx="7">
                        <c:v>Nov 2026</c:v>
                      </c:pt>
                      <c:pt idx="8">
                        <c:v>Dec 2026</c:v>
                      </c:pt>
                      <c:pt idx="9">
                        <c:v>Jan 2027</c:v>
                      </c:pt>
                      <c:pt idx="10">
                        <c:v>Feb 2027</c:v>
                      </c:pt>
                      <c:pt idx="11">
                        <c:v>Mar 2027</c:v>
                      </c:pt>
                      <c:pt idx="12">
                        <c:v>Apr 2027</c:v>
                      </c:pt>
                    </c:strCache>
                  </c:strRef>
                </c:cat>
                <c:val>
                  <c:numRef>
                    <c:extLst>
                      <c:ext uri="{02D57815-91ED-43cb-92C2-25804820EDAC}">
                        <c15:formulaRef>
                          <c15:sqref>Dashboard!$C$18:$C$30</c15:sqref>
                        </c15:formulaRef>
                      </c:ext>
                    </c:extLst>
                    <c:numCache>
                      <c:formatCode>General</c:formatCode>
                      <c:ptCount val="13"/>
                      <c:pt idx="0">
                        <c:v>1</c:v>
                      </c:pt>
                      <c:pt idx="1">
                        <c:v>1</c:v>
                      </c:pt>
                      <c:pt idx="2">
                        <c:v>5</c:v>
                      </c:pt>
                      <c:pt idx="3">
                        <c:v>1</c:v>
                      </c:pt>
                      <c:pt idx="4">
                        <c:v>3</c:v>
                      </c:pt>
                      <c:pt idx="5">
                        <c:v>1</c:v>
                      </c:pt>
                      <c:pt idx="6">
                        <c:v>5</c:v>
                      </c:pt>
                      <c:pt idx="7">
                        <c:v>0</c:v>
                      </c:pt>
                      <c:pt idx="8">
                        <c:v>5</c:v>
                      </c:pt>
                      <c:pt idx="9">
                        <c:v>0</c:v>
                      </c:pt>
                      <c:pt idx="10">
                        <c:v>5</c:v>
                      </c:pt>
                      <c:pt idx="11">
                        <c:v>1</c:v>
                      </c:pt>
                      <c:pt idx="12">
                        <c:v>0</c:v>
                      </c:pt>
                    </c:numCache>
                  </c:numRef>
                </c:val>
                <c:extLst>
                  <c:ext xmlns:c16="http://schemas.microsoft.com/office/drawing/2014/chart" uri="{C3380CC4-5D6E-409C-BE32-E72D297353CC}">
                    <c16:uniqueId val="{00000001-328C-4956-A5EA-67C01B56FE88}"/>
                  </c:ext>
                </c:extLst>
              </c15:ser>
            </c15:filteredBarSeries>
          </c:ext>
        </c:extLst>
      </c:barChart>
      <c:catAx>
        <c:axId val="717368464"/>
        <c:scaling>
          <c:orientation val="minMax"/>
        </c:scaling>
        <c:delete val="0"/>
        <c:axPos val="b"/>
        <c:numFmt formatCode="General" sourceLinked="1"/>
        <c:majorTickMark val="none"/>
        <c:minorTickMark val="none"/>
        <c:tickLblPos val="nextTo"/>
        <c:spPr>
          <a:noFill/>
          <a:ln>
            <a:noFill/>
          </a:ln>
          <a:effectLst/>
        </c:spPr>
        <c:txPr>
          <a:bodyPr rot="-4260000" spcFirstLastPara="1" vertOverflow="ellipsis" wrap="square" anchor="ctr" anchorCtr="1"/>
          <a:lstStyle/>
          <a:p>
            <a:pPr>
              <a:defRPr sz="1000" b="0" i="0" u="none" strike="noStrike" kern="1200" baseline="0">
                <a:solidFill>
                  <a:schemeClr val="dk1">
                    <a:lumMod val="65000"/>
                    <a:lumOff val="35000"/>
                  </a:schemeClr>
                </a:solidFill>
                <a:effectLst/>
                <a:latin typeface="+mn-lt"/>
                <a:ea typeface="+mn-ea"/>
                <a:cs typeface="+mn-cs"/>
              </a:defRPr>
            </a:pPr>
            <a:endParaRPr lang="en-US"/>
          </a:p>
        </c:txPr>
        <c:crossAx val="717370264"/>
        <c:crosses val="autoZero"/>
        <c:auto val="1"/>
        <c:lblAlgn val="ctr"/>
        <c:lblOffset val="0"/>
        <c:noMultiLvlLbl val="0"/>
      </c:catAx>
      <c:valAx>
        <c:axId val="717370264"/>
        <c:scaling>
          <c:orientation val="minMax"/>
        </c:scaling>
        <c:delete val="1"/>
        <c:axPos val="l"/>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n-GB" sz="1100"/>
                  <a:t>Hours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itle>
        <c:numFmt formatCode="0.0;\-0.0;;" sourceLinked="1"/>
        <c:majorTickMark val="none"/>
        <c:minorTickMark val="none"/>
        <c:tickLblPos val="nextTo"/>
        <c:crossAx val="7173684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68000">
          <a:schemeClr val="lt1">
            <a:lumMod val="85000"/>
          </a:schemeClr>
        </a:gs>
        <a:gs pos="100000">
          <a:schemeClr val="lt1"/>
        </a:gs>
      </a:gsLst>
      <a:lin ang="5400000" scaled="1"/>
      <a:tileRect/>
    </a:gradFill>
    <a:ln w="15875" cap="rnd" cmpd="sng" algn="ctr">
      <a:solidFill>
        <a:schemeClr val="tx1">
          <a:alpha val="50000"/>
        </a:schemeClr>
      </a:solidFill>
      <a:prstDash val="sysDash"/>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800" b="0" i="0" u="none" strike="noStrike" kern="1200" baseline="0">
                <a:solidFill>
                  <a:sysClr val="windowText" lastClr="000000">
                    <a:lumMod val="65000"/>
                    <a:lumOff val="35000"/>
                  </a:sysClr>
                </a:solidFill>
                <a:effectLst/>
                <a:latin typeface="+mn-lt"/>
                <a:ea typeface="+mn-ea"/>
                <a:cs typeface="+mn-cs"/>
              </a:defRPr>
            </a:pPr>
            <a:r>
              <a:rPr lang="en-US" b="0" i="0" u="none" strike="noStrike" kern="1200" baseline="0">
                <a:solidFill>
                  <a:sysClr val="windowText" lastClr="000000">
                    <a:lumMod val="65000"/>
                    <a:lumOff val="35000"/>
                  </a:sysClr>
                </a:solidFill>
                <a:effectLst/>
                <a:latin typeface="+mn-lt"/>
                <a:ea typeface="+mn-ea"/>
                <a:cs typeface="+mn-cs"/>
              </a:rPr>
              <a:t>Holidays</a:t>
            </a:r>
          </a:p>
        </c:rich>
      </c:tx>
      <c:overlay val="0"/>
      <c:spPr>
        <a:noFill/>
        <a:ln>
          <a:noFill/>
        </a:ln>
        <a:effectLst/>
      </c:spPr>
      <c:txPr>
        <a:bodyPr rot="0" spcFirstLastPara="1" vertOverflow="ellipsis" vert="horz" wrap="square" anchor="ctr" anchorCtr="1"/>
        <a:lstStyle/>
        <a:p>
          <a:pPr algn="ctr" rtl="0">
            <a:defRPr lang="en-US" sz="1800" b="0" i="0" u="none" strike="noStrike" kern="1200" baseline="0">
              <a:solidFill>
                <a:sysClr val="windowText" lastClr="000000">
                  <a:lumMod val="65000"/>
                  <a:lumOff val="35000"/>
                </a:sysClr>
              </a:solidFill>
              <a:effectLst/>
              <a:latin typeface="+mn-lt"/>
              <a:ea typeface="+mn-ea"/>
              <a:cs typeface="+mn-cs"/>
            </a:defRPr>
          </a:pPr>
          <a:endParaRPr lang="en-US"/>
        </a:p>
      </c:txPr>
    </c:title>
    <c:autoTitleDeleted val="0"/>
    <c:plotArea>
      <c:layout>
        <c:manualLayout>
          <c:layoutTarget val="inner"/>
          <c:xMode val="edge"/>
          <c:yMode val="edge"/>
          <c:x val="0.13545684279453399"/>
          <c:y val="7.20292395882947E-2"/>
          <c:w val="0.81022214842894857"/>
          <c:h val="0.78718147073721045"/>
        </c:manualLayout>
      </c:layout>
      <c:barChart>
        <c:barDir val="col"/>
        <c:grouping val="clustered"/>
        <c:varyColors val="0"/>
        <c:ser>
          <c:idx val="1"/>
          <c:order val="1"/>
          <c:spPr>
            <a:solidFill>
              <a:schemeClr val="accent2">
                <a:alpha val="85000"/>
              </a:schemeClr>
            </a:solidFill>
            <a:ln w="9525" cap="flat" cmpd="sng" algn="ctr">
              <a:noFill/>
              <a:round/>
            </a:ln>
            <a:effectLst/>
          </c:spPr>
          <c:invertIfNegative val="0"/>
          <c:dPt>
            <c:idx val="0"/>
            <c:invertIfNegative val="0"/>
            <c:bubble3D val="0"/>
            <c:spPr>
              <a:solidFill>
                <a:schemeClr val="accent1">
                  <a:alpha val="85000"/>
                </a:schemeClr>
              </a:solidFill>
              <a:ln w="9525" cap="flat" cmpd="sng" algn="ctr">
                <a:noFill/>
                <a:round/>
              </a:ln>
              <a:effectLst/>
            </c:spPr>
            <c:extLst>
              <c:ext xmlns:c16="http://schemas.microsoft.com/office/drawing/2014/chart" uri="{C3380CC4-5D6E-409C-BE32-E72D297353CC}">
                <c16:uniqueId val="{00000006-381B-479C-AF99-C2024E6FAEE8}"/>
              </c:ext>
            </c:extLst>
          </c:dPt>
          <c:dPt>
            <c:idx val="1"/>
            <c:invertIfNegative val="0"/>
            <c:bubble3D val="0"/>
            <c:spPr>
              <a:solidFill>
                <a:schemeClr val="accent2">
                  <a:alpha val="85000"/>
                </a:schemeClr>
              </a:solidFill>
              <a:ln w="9525" cap="flat" cmpd="sng" algn="ctr">
                <a:noFill/>
                <a:round/>
              </a:ln>
              <a:effectLst/>
            </c:spPr>
            <c:extLst>
              <c:ext xmlns:c16="http://schemas.microsoft.com/office/drawing/2014/chart" uri="{C3380CC4-5D6E-409C-BE32-E72D297353CC}">
                <c16:uniqueId val="{00000007-381B-479C-AF99-C2024E6FAEE8}"/>
              </c:ext>
            </c:extLst>
          </c:dPt>
          <c:dPt>
            <c:idx val="2"/>
            <c:invertIfNegative val="0"/>
            <c:bubble3D val="0"/>
            <c:spPr>
              <a:solidFill>
                <a:schemeClr val="accent6">
                  <a:alpha val="85000"/>
                </a:schemeClr>
              </a:solidFill>
              <a:ln w="9525" cap="flat" cmpd="sng" algn="ctr">
                <a:noFill/>
                <a:round/>
              </a:ln>
              <a:effectLst/>
            </c:spPr>
            <c:extLst>
              <c:ext xmlns:c16="http://schemas.microsoft.com/office/drawing/2014/chart" uri="{C3380CC4-5D6E-409C-BE32-E72D297353CC}">
                <c16:uniqueId val="{00000008-381B-479C-AF99-C2024E6FAEE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(Dashboard!$B$11,Dashboard!$B$14:$B$15)</c:f>
              <c:strCache>
                <c:ptCount val="3"/>
                <c:pt idx="0">
                  <c:v>Annual Allowance</c:v>
                </c:pt>
                <c:pt idx="1">
                  <c:v>Total Bookings</c:v>
                </c:pt>
                <c:pt idx="2">
                  <c:v>Remaining Balance</c:v>
                </c:pt>
              </c:strCache>
            </c:strRef>
          </c:cat>
          <c:val>
            <c:numRef>
              <c:f>(Dashboard!$D$11,Dashboard!$D$14:$D$15)</c:f>
              <c:numCache>
                <c:formatCode>General</c:formatCode>
                <c:ptCount val="3"/>
                <c:pt idx="0">
                  <c:v>262.5</c:v>
                </c:pt>
                <c:pt idx="1">
                  <c:v>206.25</c:v>
                </c:pt>
                <c:pt idx="2">
                  <c:v>56.25</c:v>
                </c:pt>
              </c:numCache>
            </c:numRef>
          </c:val>
          <c:extLst>
            <c:ext xmlns:c16="http://schemas.microsoft.com/office/drawing/2014/chart" uri="{C3380CC4-5D6E-409C-BE32-E72D297353CC}">
              <c16:uniqueId val="{00000005-381B-479C-AF99-C2024E6FAEE8}"/>
            </c:ext>
          </c:extLst>
        </c:ser>
        <c:dLbls>
          <c:dLblPos val="inEnd"/>
          <c:showLegendKey val="0"/>
          <c:showVal val="1"/>
          <c:showCatName val="0"/>
          <c:showSerName val="0"/>
          <c:showPercent val="0"/>
          <c:showBubbleSize val="0"/>
        </c:dLbls>
        <c:gapWidth val="30"/>
        <c:axId val="656590648"/>
        <c:axId val="656583088"/>
        <c:extLst>
          <c:ext xmlns:c15="http://schemas.microsoft.com/office/drawing/2012/chart" uri="{02D57815-91ED-43cb-92C2-25804820EDAC}">
            <c15:filteredBarSeries>
              <c15:ser>
                <c:idx val="0"/>
                <c:order val="0"/>
                <c:spPr>
                  <a:solidFill>
                    <a:schemeClr val="accent1">
                      <a:alpha val="85000"/>
                    </a:schemeClr>
                  </a:solidFill>
                  <a:ln w="9525" cap="flat" cmpd="sng" algn="ctr">
                    <a:solidFill>
                      <a:schemeClr val="lt1">
                        <a:alpha val="50000"/>
                      </a:schemeClr>
                    </a:solidFill>
                    <a:round/>
                  </a:ln>
                  <a:effectLst/>
                </c:spPr>
                <c:invertIfNegative val="0"/>
                <c:dLbls>
                  <c:delete val="1"/>
                </c:dLbls>
                <c:cat>
                  <c:strRef>
                    <c:extLst>
                      <c:ext uri="{02D57815-91ED-43cb-92C2-25804820EDAC}">
                        <c15:formulaRef>
                          <c15:sqref>(Dashboard!$B$11,Dashboard!$B$14:$B$15)</c15:sqref>
                        </c15:formulaRef>
                      </c:ext>
                    </c:extLst>
                    <c:strCache>
                      <c:ptCount val="3"/>
                      <c:pt idx="0">
                        <c:v>Annual Allowance</c:v>
                      </c:pt>
                      <c:pt idx="1">
                        <c:v>Total Bookings</c:v>
                      </c:pt>
                      <c:pt idx="2">
                        <c:v>Remaining Balance</c:v>
                      </c:pt>
                    </c:strCache>
                  </c:strRef>
                </c:cat>
                <c:val>
                  <c:numRef>
                    <c:extLst>
                      <c:ext uri="{02D57815-91ED-43cb-92C2-25804820EDAC}">
                        <c15:formulaRef>
                          <c15:sqref>(Dashboard!$C$11,Dashboard!$C$14:$C$15)</c15:sqref>
                        </c15:formulaRef>
                      </c:ext>
                    </c:extLst>
                    <c:numCache>
                      <c:formatCode>0.0</c:formatCode>
                      <c:ptCount val="3"/>
                      <c:pt idx="0">
                        <c:v>35</c:v>
                      </c:pt>
                      <c:pt idx="1">
                        <c:v>27.5</c:v>
                      </c:pt>
                      <c:pt idx="2">
                        <c:v>7.5</c:v>
                      </c:pt>
                    </c:numCache>
                  </c:numRef>
                </c:val>
                <c:extLst>
                  <c:ext xmlns:c16="http://schemas.microsoft.com/office/drawing/2014/chart" uri="{C3380CC4-5D6E-409C-BE32-E72D297353CC}">
                    <c16:uniqueId val="{00000004-381B-479C-AF99-C2024E6FAEE8}"/>
                  </c:ext>
                </c:extLst>
              </c15:ser>
            </c15:filteredBarSeries>
          </c:ext>
        </c:extLst>
      </c:barChart>
      <c:catAx>
        <c:axId val="656590648"/>
        <c:scaling>
          <c:orientation val="minMax"/>
        </c:scaling>
        <c:delete val="0"/>
        <c:axPos val="b"/>
        <c:numFmt formatCode="General" sourceLinked="1"/>
        <c:majorTickMark val="out"/>
        <c:minorTickMark val="none"/>
        <c:tickLblPos val="nextTo"/>
        <c:spPr>
          <a:noFill/>
          <a:ln w="19050" cap="flat" cmpd="sng" algn="ctr">
            <a:noFill/>
            <a:round/>
          </a:ln>
          <a:effectLst/>
        </c:spPr>
        <c:txPr>
          <a:bodyPr rot="0" spcFirstLastPara="1" vertOverflow="ellipsis" wrap="square" anchor="ctr" anchorCtr="0"/>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56583088"/>
        <c:crosses val="autoZero"/>
        <c:auto val="1"/>
        <c:lblAlgn val="ctr"/>
        <c:lblOffset val="0"/>
        <c:tickMarkSkip val="1"/>
        <c:noMultiLvlLbl val="0"/>
      </c:catAx>
      <c:valAx>
        <c:axId val="656583088"/>
        <c:scaling>
          <c:orientation val="minMax"/>
        </c:scaling>
        <c:delete val="1"/>
        <c:axPos val="l"/>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GB" sz="1100">
                    <a:solidFill>
                      <a:schemeClr val="tx1">
                        <a:lumMod val="65000"/>
                        <a:lumOff val="35000"/>
                      </a:schemeClr>
                    </a:solidFill>
                  </a:rPr>
                  <a:t>Hours</a:t>
                </a:r>
              </a:p>
            </c:rich>
          </c:tx>
          <c:layout>
            <c:manualLayout>
              <c:xMode val="edge"/>
              <c:yMode val="edge"/>
              <c:x val="5.6737614000162619E-2"/>
              <c:y val="0.43786909794170464"/>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crossAx val="656590648"/>
        <c:crosses val="autoZero"/>
        <c:crossBetween val="between"/>
      </c:valAx>
      <c:spPr>
        <a:noFill/>
        <a:ln>
          <a:noFill/>
        </a:ln>
        <a:effectLst/>
      </c:spPr>
    </c:plotArea>
    <c:plotVisOnly val="1"/>
    <c:dispBlanksAs val="gap"/>
    <c:showDLblsOverMax val="0"/>
  </c:chart>
  <c:spPr>
    <a:gradFill flip="none" rotWithShape="1">
      <a:gsLst>
        <a:gs pos="39000">
          <a:schemeClr val="accent3">
            <a:lumMod val="5000"/>
            <a:lumOff val="95000"/>
          </a:schemeClr>
        </a:gs>
        <a:gs pos="69000">
          <a:schemeClr val="accent3">
            <a:lumMod val="45000"/>
            <a:lumOff val="55000"/>
          </a:schemeClr>
        </a:gs>
        <a:gs pos="80000">
          <a:schemeClr val="bg1"/>
        </a:gs>
      </a:gsLst>
      <a:lin ang="5400000" scaled="1"/>
      <a:tileRect/>
    </a:gradFill>
    <a:ln w="15875" cap="flat" cmpd="sng" algn="ctr">
      <a:solidFill>
        <a:schemeClr val="tx1">
          <a:alpha val="50000"/>
        </a:schemeClr>
      </a:solidFill>
      <a:prstDash val="sysDash"/>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800" b="0" i="0" u="none" strike="noStrike" kern="1200" baseline="0">
                <a:solidFill>
                  <a:sysClr val="windowText" lastClr="000000">
                    <a:lumMod val="65000"/>
                    <a:lumOff val="35000"/>
                  </a:sysClr>
                </a:solidFill>
                <a:effectLst/>
                <a:latin typeface="+mn-lt"/>
                <a:ea typeface="+mn-ea"/>
                <a:cs typeface="+mn-cs"/>
              </a:defRPr>
            </a:pPr>
            <a:r>
              <a:rPr lang="en-US" b="0" i="0" u="none" strike="noStrike" kern="1200" baseline="0">
                <a:solidFill>
                  <a:sysClr val="windowText" lastClr="000000">
                    <a:lumMod val="65000"/>
                    <a:lumOff val="35000"/>
                  </a:sysClr>
                </a:solidFill>
                <a:effectLst/>
                <a:latin typeface="+mn-lt"/>
                <a:ea typeface="+mn-ea"/>
                <a:cs typeface="+mn-cs"/>
              </a:rPr>
              <a:t>Sickness</a:t>
            </a:r>
          </a:p>
        </c:rich>
      </c:tx>
      <c:overlay val="0"/>
      <c:spPr>
        <a:noFill/>
        <a:ln>
          <a:noFill/>
        </a:ln>
        <a:effectLst/>
      </c:spPr>
      <c:txPr>
        <a:bodyPr rot="0" spcFirstLastPara="1" vertOverflow="ellipsis" vert="horz" wrap="square" anchor="ctr" anchorCtr="1"/>
        <a:lstStyle/>
        <a:p>
          <a:pPr algn="ctr" rtl="0">
            <a:defRPr lang="en-US" sz="1800" b="0" i="0" u="none" strike="noStrike" kern="1200" baseline="0">
              <a:solidFill>
                <a:sysClr val="windowText" lastClr="000000">
                  <a:lumMod val="65000"/>
                  <a:lumOff val="35000"/>
                </a:sysClr>
              </a:solidFill>
              <a:effectLst/>
              <a:latin typeface="+mn-lt"/>
              <a:ea typeface="+mn-ea"/>
              <a:cs typeface="+mn-cs"/>
            </a:defRPr>
          </a:pPr>
          <a:endParaRPr lang="en-US"/>
        </a:p>
      </c:txPr>
    </c:title>
    <c:autoTitleDeleted val="0"/>
    <c:plotArea>
      <c:layout>
        <c:manualLayout>
          <c:layoutTarget val="inner"/>
          <c:xMode val="edge"/>
          <c:yMode val="edge"/>
          <c:x val="0.14287169800622301"/>
          <c:y val="7.2029285812957589E-2"/>
          <c:w val="0.79445049060718387"/>
          <c:h val="0.79188561956071279"/>
        </c:manualLayout>
      </c:layout>
      <c:barChart>
        <c:barDir val="col"/>
        <c:grouping val="clustered"/>
        <c:varyColors val="0"/>
        <c:ser>
          <c:idx val="0"/>
          <c:order val="1"/>
          <c:tx>
            <c:strRef>
              <c:f>Dashboard!$D$33</c:f>
              <c:strCache>
                <c:ptCount val="1"/>
                <c:pt idx="0">
                  <c:v>Days</c:v>
                </c:pt>
              </c:strCache>
            </c:strRef>
          </c:tx>
          <c:spPr>
            <a:solidFill>
              <a:schemeClr val="accent1">
                <a:alpha val="85000"/>
              </a:schemeClr>
            </a:solidFill>
            <a:ln w="9525" cap="flat" cmpd="sng" algn="ctr">
              <a:noFill/>
              <a:round/>
            </a:ln>
            <a:effectLst/>
          </c:spPr>
          <c:invertIfNegative val="0"/>
          <c:dPt>
            <c:idx val="0"/>
            <c:invertIfNegative val="0"/>
            <c:bubble3D val="0"/>
            <c:spPr>
              <a:solidFill>
                <a:srgbClr val="FF5D61">
                  <a:alpha val="85000"/>
                </a:srgbClr>
              </a:solidFill>
              <a:ln w="9525" cap="flat" cmpd="sng" algn="ctr">
                <a:noFill/>
                <a:round/>
              </a:ln>
              <a:effectLst/>
            </c:spPr>
            <c:extLst>
              <c:ext xmlns:c16="http://schemas.microsoft.com/office/drawing/2014/chart" uri="{C3380CC4-5D6E-409C-BE32-E72D297353CC}">
                <c16:uniqueId val="{00000001-471E-4949-8C08-A499D655E6F2}"/>
              </c:ext>
            </c:extLst>
          </c:dPt>
          <c:dPt>
            <c:idx val="1"/>
            <c:invertIfNegative val="0"/>
            <c:bubble3D val="0"/>
            <c:spPr>
              <a:solidFill>
                <a:srgbClr val="C00000">
                  <a:alpha val="85000"/>
                </a:srgbClr>
              </a:solidFill>
              <a:ln w="9525" cap="flat" cmpd="sng" algn="ctr">
                <a:noFill/>
                <a:round/>
              </a:ln>
              <a:effectLst/>
            </c:spPr>
            <c:extLst>
              <c:ext xmlns:c16="http://schemas.microsoft.com/office/drawing/2014/chart" uri="{C3380CC4-5D6E-409C-BE32-E72D297353CC}">
                <c16:uniqueId val="{00000003-471E-4949-8C08-A499D655E6F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c:ext xmlns:c15="http://schemas.microsoft.com/office/drawing/2012/chart" uri="{02D57815-91ED-43cb-92C2-25804820EDAC}">
                  <c15:fullRef>
                    <c15:sqref>Dashboard!$B$34:$B$36</c15:sqref>
                  </c15:fullRef>
                </c:ext>
              </c:extLst>
              <c:f>Dashboard!$B$35:$B$36</c:f>
              <c:strCache>
                <c:ptCount val="2"/>
                <c:pt idx="0">
                  <c:v>Last 12 Months</c:v>
                </c:pt>
                <c:pt idx="1">
                  <c:v>Sickness Allowance (Last 12 Months)</c:v>
                </c:pt>
              </c:strCache>
            </c:strRef>
          </c:cat>
          <c:val>
            <c:numRef>
              <c:extLst>
                <c:ext xmlns:c15="http://schemas.microsoft.com/office/drawing/2012/chart" uri="{02D57815-91ED-43cb-92C2-25804820EDAC}">
                  <c15:fullRef>
                    <c15:sqref>Dashboard!$D$34:$D$36</c15:sqref>
                  </c15:fullRef>
                </c:ext>
              </c:extLst>
              <c:f>Dashboard!$D$35:$D$36</c:f>
              <c:numCache>
                <c:formatCode>General</c:formatCode>
                <c:ptCount val="2"/>
                <c:pt idx="0">
                  <c:v>7</c:v>
                </c:pt>
                <c:pt idx="1">
                  <c:v>40</c:v>
                </c:pt>
              </c:numCache>
            </c:numRef>
          </c:val>
          <c:extLst>
            <c:ext xmlns:c15="http://schemas.microsoft.com/office/drawing/2012/chart" uri="{02D57815-91ED-43cb-92C2-25804820EDAC}">
              <c15:categoryFilterExceptions>
                <c15:categoryFilterException>
                  <c15:sqref>Dashboard!$D$34</c15:sqref>
                  <c15:invertIfNegative val="0"/>
                  <c15:bubble3D val="0"/>
                </c15:categoryFilterException>
              </c15:categoryFilterExceptions>
            </c:ext>
            <c:ext xmlns:c16="http://schemas.microsoft.com/office/drawing/2014/chart" uri="{C3380CC4-5D6E-409C-BE32-E72D297353CC}">
              <c16:uniqueId val="{00000013-C32D-4F0A-ADD1-565F96C7B9A9}"/>
            </c:ext>
          </c:extLst>
        </c:ser>
        <c:dLbls>
          <c:dLblPos val="inEnd"/>
          <c:showLegendKey val="0"/>
          <c:showVal val="1"/>
          <c:showCatName val="0"/>
          <c:showSerName val="0"/>
          <c:showPercent val="0"/>
          <c:showBubbleSize val="0"/>
        </c:dLbls>
        <c:gapWidth val="30"/>
        <c:axId val="656590648"/>
        <c:axId val="656583088"/>
        <c:extLst>
          <c:ext xmlns:c15="http://schemas.microsoft.com/office/drawing/2012/chart" uri="{02D57815-91ED-43cb-92C2-25804820EDAC}">
            <c15:filteredBarSeries>
              <c15:ser>
                <c:idx val="1"/>
                <c:order val="0"/>
                <c:tx>
                  <c:strRef>
                    <c:extLst>
                      <c:ext uri="{02D57815-91ED-43cb-92C2-25804820EDAC}">
                        <c15:formulaRef>
                          <c15:sqref>Dashboard!$C$33</c15:sqref>
                        </c15:formulaRef>
                      </c:ext>
                    </c:extLst>
                    <c:strCache>
                      <c:ptCount val="1"/>
                      <c:pt idx="0">
                        <c:v>Count</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ullRef>
                          <c15:sqref>Dashboard!$B$34:$B$36</c15:sqref>
                        </c15:fullRef>
                        <c15:formulaRef>
                          <c15:sqref>Dashboard!$B$35:$B$36</c15:sqref>
                        </c15:formulaRef>
                      </c:ext>
                    </c:extLst>
                    <c:strCache>
                      <c:ptCount val="2"/>
                      <c:pt idx="0">
                        <c:v>Last 12 Months</c:v>
                      </c:pt>
                      <c:pt idx="1">
                        <c:v>Sickness Allowance (Last 12 Months)</c:v>
                      </c:pt>
                    </c:strCache>
                  </c:strRef>
                </c:cat>
                <c:val>
                  <c:numRef>
                    <c:extLst>
                      <c:ext uri="{02D57815-91ED-43cb-92C2-25804820EDAC}">
                        <c15:fullRef>
                          <c15:sqref>Dashboard!$C$34:$C$36</c15:sqref>
                        </c15:fullRef>
                        <c15:formulaRef>
                          <c15:sqref>Dashboard!$C$35:$C$36</c15:sqref>
                        </c15:formulaRef>
                      </c:ext>
                    </c:extLst>
                    <c:numCache>
                      <c:formatCode>General</c:formatCode>
                      <c:ptCount val="2"/>
                    </c:numCache>
                  </c:numRef>
                </c:val>
                <c:extLst>
                  <c:ext xmlns:c16="http://schemas.microsoft.com/office/drawing/2014/chart" uri="{C3380CC4-5D6E-409C-BE32-E72D297353CC}">
                    <c16:uniqueId val="{00000009-C32D-4F0A-ADD1-565F96C7B9A9}"/>
                  </c:ext>
                </c:extLst>
              </c15:ser>
            </c15:filteredBarSeries>
          </c:ext>
        </c:extLst>
      </c:barChart>
      <c:catAx>
        <c:axId val="656590648"/>
        <c:scaling>
          <c:orientation val="maxMin"/>
        </c:scaling>
        <c:delete val="0"/>
        <c:axPos val="b"/>
        <c:numFmt formatCode="General" sourceLinked="1"/>
        <c:majorTickMark val="none"/>
        <c:minorTickMark val="none"/>
        <c:tickLblPos val="nextTo"/>
        <c:spPr>
          <a:noFill/>
          <a:ln w="19050" cap="flat" cmpd="sng" algn="ctr">
            <a:noFill/>
            <a:round/>
          </a:ln>
          <a:effectLst/>
        </c:spPr>
        <c:txPr>
          <a:bodyPr rot="0" spcFirstLastPara="1" vertOverflow="ellipsis" wrap="square" anchor="ctr" anchorCtr="0"/>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56583088"/>
        <c:crosses val="autoZero"/>
        <c:auto val="1"/>
        <c:lblAlgn val="ctr"/>
        <c:lblOffset val="0"/>
        <c:tickLblSkip val="1"/>
        <c:tickMarkSkip val="1"/>
        <c:noMultiLvlLbl val="0"/>
      </c:catAx>
      <c:valAx>
        <c:axId val="656583088"/>
        <c:scaling>
          <c:orientation val="minMax"/>
        </c:scaling>
        <c:delete val="1"/>
        <c:axPos val="r"/>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GB" sz="1100">
                    <a:solidFill>
                      <a:schemeClr val="tx1">
                        <a:lumMod val="65000"/>
                        <a:lumOff val="35000"/>
                      </a:schemeClr>
                    </a:solidFill>
                  </a:rPr>
                  <a:t>Days</a:t>
                </a:r>
              </a:p>
            </c:rich>
          </c:tx>
          <c:layout>
            <c:manualLayout>
              <c:xMode val="edge"/>
              <c:yMode val="edge"/>
              <c:x val="5.6737614000162619E-2"/>
              <c:y val="0.43786909794170464"/>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crossAx val="656590648"/>
        <c:crosses val="autoZero"/>
        <c:crossBetween val="between"/>
      </c:valAx>
      <c:spPr>
        <a:noFill/>
        <a:ln>
          <a:noFill/>
        </a:ln>
        <a:effectLst/>
      </c:spPr>
    </c:plotArea>
    <c:plotVisOnly val="1"/>
    <c:dispBlanksAs val="gap"/>
    <c:showDLblsOverMax val="0"/>
  </c:chart>
  <c:spPr>
    <a:gradFill flip="none" rotWithShape="1">
      <a:gsLst>
        <a:gs pos="14000">
          <a:schemeClr val="accent3">
            <a:lumMod val="5000"/>
            <a:lumOff val="95000"/>
          </a:schemeClr>
        </a:gs>
        <a:gs pos="69000">
          <a:schemeClr val="accent3">
            <a:lumMod val="45000"/>
            <a:lumOff val="55000"/>
          </a:schemeClr>
        </a:gs>
        <a:gs pos="80000">
          <a:schemeClr val="bg1"/>
        </a:gs>
      </a:gsLst>
      <a:lin ang="5400000" scaled="1"/>
      <a:tileRect/>
    </a:gradFill>
    <a:ln w="15875" cap="flat" cmpd="sng" algn="ctr">
      <a:solidFill>
        <a:schemeClr val="tx1">
          <a:alpha val="50000"/>
        </a:schemeClr>
      </a:solidFill>
      <a:prstDash val="sysDash"/>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9</xdr:row>
      <xdr:rowOff>0</xdr:rowOff>
    </xdr:from>
    <xdr:to>
      <xdr:col>8</xdr:col>
      <xdr:colOff>0</xdr:colOff>
      <xdr:row>39</xdr:row>
      <xdr:rowOff>0</xdr:rowOff>
    </xdr:to>
    <xdr:graphicFrame macro="">
      <xdr:nvGraphicFramePr>
        <xdr:cNvPr id="2" name="Chart 1">
          <a:extLst>
            <a:ext uri="{FF2B5EF4-FFF2-40B4-BE49-F238E27FC236}">
              <a16:creationId xmlns:a16="http://schemas.microsoft.com/office/drawing/2014/main" id="{72D22947-CD29-49A7-B518-FF8D96038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xdr:colOff>
      <xdr:row>9</xdr:row>
      <xdr:rowOff>0</xdr:rowOff>
    </xdr:from>
    <xdr:to>
      <xdr:col>6</xdr:col>
      <xdr:colOff>0</xdr:colOff>
      <xdr:row>39</xdr:row>
      <xdr:rowOff>0</xdr:rowOff>
    </xdr:to>
    <xdr:graphicFrame macro="">
      <xdr:nvGraphicFramePr>
        <xdr:cNvPr id="3" name="Chart 2">
          <a:extLst>
            <a:ext uri="{FF2B5EF4-FFF2-40B4-BE49-F238E27FC236}">
              <a16:creationId xmlns:a16="http://schemas.microsoft.com/office/drawing/2014/main" id="{FA6BD19F-6160-45E6-AA4F-F205C34A9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xdr:colOff>
      <xdr:row>9</xdr:row>
      <xdr:rowOff>0</xdr:rowOff>
    </xdr:from>
    <xdr:to>
      <xdr:col>10</xdr:col>
      <xdr:colOff>0</xdr:colOff>
      <xdr:row>39</xdr:row>
      <xdr:rowOff>0</xdr:rowOff>
    </xdr:to>
    <xdr:graphicFrame macro="">
      <xdr:nvGraphicFramePr>
        <xdr:cNvPr id="5" name="Chart 4">
          <a:extLst>
            <a:ext uri="{FF2B5EF4-FFF2-40B4-BE49-F238E27FC236}">
              <a16:creationId xmlns:a16="http://schemas.microsoft.com/office/drawing/2014/main" id="{1F4BE416-88D7-4297-BA9F-47023CD19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95251</xdr:colOff>
      <xdr:row>9</xdr:row>
      <xdr:rowOff>85726</xdr:rowOff>
    </xdr:from>
    <xdr:to>
      <xdr:col>9</xdr:col>
      <xdr:colOff>390525</xdr:colOff>
      <xdr:row>12</xdr:row>
      <xdr:rowOff>146503</xdr:rowOff>
    </xdr:to>
    <xdr:pic>
      <xdr:nvPicPr>
        <xdr:cNvPr id="10" name="Picture 9">
          <a:extLst>
            <a:ext uri="{FF2B5EF4-FFF2-40B4-BE49-F238E27FC236}">
              <a16:creationId xmlns:a16="http://schemas.microsoft.com/office/drawing/2014/main" id="{36C5D7C2-A502-A4DF-519D-26E700CD889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430251" y="962026"/>
          <a:ext cx="295274" cy="660852"/>
        </a:xfrm>
        <a:prstGeom prst="rect">
          <a:avLst/>
        </a:prstGeom>
      </xdr:spPr>
    </xdr:pic>
    <xdr:clientData/>
  </xdr:twoCellAnchor>
  <xdr:twoCellAnchor editAs="oneCell">
    <xdr:from>
      <xdr:col>5</xdr:col>
      <xdr:colOff>2291053</xdr:colOff>
      <xdr:row>9</xdr:row>
      <xdr:rowOff>104776</xdr:rowOff>
    </xdr:from>
    <xdr:to>
      <xdr:col>7</xdr:col>
      <xdr:colOff>272463</xdr:colOff>
      <xdr:row>13</xdr:row>
      <xdr:rowOff>48336</xdr:rowOff>
    </xdr:to>
    <xdr:pic>
      <xdr:nvPicPr>
        <xdr:cNvPr id="12" name="Picture 11">
          <a:extLst>
            <a:ext uri="{FF2B5EF4-FFF2-40B4-BE49-F238E27FC236}">
              <a16:creationId xmlns:a16="http://schemas.microsoft.com/office/drawing/2014/main" id="{6BB1FD05-2D8C-7109-3D15-385167B654F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29603" y="962026"/>
          <a:ext cx="724610" cy="724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57151</xdr:colOff>
      <xdr:row>5</xdr:row>
      <xdr:rowOff>200023</xdr:rowOff>
    </xdr:from>
    <xdr:to>
      <xdr:col>1</xdr:col>
      <xdr:colOff>904875</xdr:colOff>
      <xdr:row>6</xdr:row>
      <xdr:rowOff>295273</xdr:rowOff>
    </xdr:to>
    <xdr:sp macro="" textlink="">
      <xdr:nvSpPr>
        <xdr:cNvPr id="3" name="Right Brace 2">
          <a:extLst>
            <a:ext uri="{FF2B5EF4-FFF2-40B4-BE49-F238E27FC236}">
              <a16:creationId xmlns:a16="http://schemas.microsoft.com/office/drawing/2014/main" id="{10C3D100-9F18-E398-C522-63BFBE301EA6}"/>
            </a:ext>
          </a:extLst>
        </xdr:cNvPr>
        <xdr:cNvSpPr/>
      </xdr:nvSpPr>
      <xdr:spPr>
        <a:xfrm rot="16200000">
          <a:off x="795338" y="776286"/>
          <a:ext cx="295275" cy="1771649"/>
        </a:xfrm>
        <a:prstGeom prst="rightBrace">
          <a:avLst/>
        </a:prstGeom>
        <a:solidFill>
          <a:schemeClr val="accent1">
            <a:lumMod val="40000"/>
            <a:lumOff val="60000"/>
          </a:schemeClr>
        </a:solidFill>
        <a:ln w="31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2</xdr:col>
      <xdr:colOff>19050</xdr:colOff>
      <xdr:row>5</xdr:row>
      <xdr:rowOff>200024</xdr:rowOff>
    </xdr:from>
    <xdr:to>
      <xdr:col>2</xdr:col>
      <xdr:colOff>2543178</xdr:colOff>
      <xdr:row>6</xdr:row>
      <xdr:rowOff>295274</xdr:rowOff>
    </xdr:to>
    <xdr:sp macro="" textlink="">
      <xdr:nvSpPr>
        <xdr:cNvPr id="4" name="Right Brace 3">
          <a:extLst>
            <a:ext uri="{FF2B5EF4-FFF2-40B4-BE49-F238E27FC236}">
              <a16:creationId xmlns:a16="http://schemas.microsoft.com/office/drawing/2014/main" id="{8C769F2C-3B07-42F8-A7B8-B6AD531D6697}"/>
            </a:ext>
          </a:extLst>
        </xdr:cNvPr>
        <xdr:cNvSpPr/>
      </xdr:nvSpPr>
      <xdr:spPr>
        <a:xfrm rot="16200000">
          <a:off x="2981326" y="400048"/>
          <a:ext cx="295275" cy="2524128"/>
        </a:xfrm>
        <a:prstGeom prst="rightBrace">
          <a:avLst/>
        </a:prstGeom>
        <a:solidFill>
          <a:schemeClr val="accent1">
            <a:lumMod val="40000"/>
            <a:lumOff val="60000"/>
          </a:schemeClr>
        </a:solidFill>
        <a:ln w="31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3</xdr:col>
      <xdr:colOff>9525</xdr:colOff>
      <xdr:row>6</xdr:row>
      <xdr:rowOff>0</xdr:rowOff>
    </xdr:from>
    <xdr:to>
      <xdr:col>4</xdr:col>
      <xdr:colOff>2581278</xdr:colOff>
      <xdr:row>7</xdr:row>
      <xdr:rowOff>0</xdr:rowOff>
    </xdr:to>
    <xdr:sp macro="" textlink="">
      <xdr:nvSpPr>
        <xdr:cNvPr id="5" name="Right Brace 4">
          <a:extLst>
            <a:ext uri="{FF2B5EF4-FFF2-40B4-BE49-F238E27FC236}">
              <a16:creationId xmlns:a16="http://schemas.microsoft.com/office/drawing/2014/main" id="{4D6D03B9-263E-45B2-B12F-D6C1B98D53FE}"/>
            </a:ext>
          </a:extLst>
        </xdr:cNvPr>
        <xdr:cNvSpPr/>
      </xdr:nvSpPr>
      <xdr:spPr>
        <a:xfrm rot="16200000">
          <a:off x="6677026" y="-742951"/>
          <a:ext cx="295275" cy="4810128"/>
        </a:xfrm>
        <a:prstGeom prst="rightBrace">
          <a:avLst/>
        </a:prstGeom>
        <a:solidFill>
          <a:schemeClr val="accent6">
            <a:lumMod val="40000"/>
            <a:lumOff val="60000"/>
          </a:schemeClr>
        </a:solidFill>
        <a:ln w="31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4</xdr:col>
      <xdr:colOff>19050</xdr:colOff>
      <xdr:row>5</xdr:row>
      <xdr:rowOff>200023</xdr:rowOff>
    </xdr:from>
    <xdr:to>
      <xdr:col>6</xdr:col>
      <xdr:colOff>685803</xdr:colOff>
      <xdr:row>6</xdr:row>
      <xdr:rowOff>295273</xdr:rowOff>
    </xdr:to>
    <xdr:sp macro="" textlink="">
      <xdr:nvSpPr>
        <xdr:cNvPr id="6" name="Right Brace 5">
          <a:extLst>
            <a:ext uri="{FF2B5EF4-FFF2-40B4-BE49-F238E27FC236}">
              <a16:creationId xmlns:a16="http://schemas.microsoft.com/office/drawing/2014/main" id="{E8BBD325-8A5E-441E-A0FF-FBAD2EF78AED}"/>
            </a:ext>
          </a:extLst>
        </xdr:cNvPr>
        <xdr:cNvSpPr/>
      </xdr:nvSpPr>
      <xdr:spPr>
        <a:xfrm rot="16200000">
          <a:off x="10691814" y="90484"/>
          <a:ext cx="295275" cy="3143253"/>
        </a:xfrm>
        <a:prstGeom prst="rightBrace">
          <a:avLst/>
        </a:prstGeom>
        <a:solidFill>
          <a:schemeClr val="accent2">
            <a:lumMod val="40000"/>
            <a:lumOff val="60000"/>
          </a:schemeClr>
        </a:solidFill>
        <a:ln w="31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p>
      </xdr:txBody>
    </xdr:sp>
    <xdr:clientData/>
  </xdr:twoCellAnchor>
  <xdr:twoCellAnchor>
    <xdr:from>
      <xdr:col>7</xdr:col>
      <xdr:colOff>342900</xdr:colOff>
      <xdr:row>4</xdr:row>
      <xdr:rowOff>38100</xdr:rowOff>
    </xdr:from>
    <xdr:to>
      <xdr:col>7</xdr:col>
      <xdr:colOff>590550</xdr:colOff>
      <xdr:row>5</xdr:row>
      <xdr:rowOff>171450</xdr:rowOff>
    </xdr:to>
    <xdr:sp macro="" textlink="">
      <xdr:nvSpPr>
        <xdr:cNvPr id="7" name="Arrow: Down 6">
          <a:extLst>
            <a:ext uri="{FF2B5EF4-FFF2-40B4-BE49-F238E27FC236}">
              <a16:creationId xmlns:a16="http://schemas.microsoft.com/office/drawing/2014/main" id="{35AF8A65-354B-CA6B-FED6-7BC3E1CFEA02}"/>
            </a:ext>
          </a:extLst>
        </xdr:cNvPr>
        <xdr:cNvSpPr/>
      </xdr:nvSpPr>
      <xdr:spPr>
        <a:xfrm>
          <a:off x="12782550" y="1362075"/>
          <a:ext cx="247650" cy="333375"/>
        </a:xfrm>
        <a:prstGeom prst="down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01D5FDB-8656-4995-9848-462E148323EC}" name="Sum_of_Holiday_Months" displayName="Sum_of_Holiday_Months" ref="B17:D31" totalsRowCount="1" headerRowDxfId="76" dataDxfId="75" totalsRowDxfId="73" tableBorderDxfId="74">
  <autoFilter ref="B17:D30" xr:uid="{901D5FDB-8656-4995-9848-462E148323EC}">
    <filterColumn colId="0" hiddenButton="1"/>
    <filterColumn colId="1" hiddenButton="1"/>
    <filterColumn colId="2" hiddenButton="1"/>
  </autoFilter>
  <tableColumns count="3">
    <tableColumn id="1" xr3:uid="{3B128AF0-0684-4892-B576-1BCF29C50BA6}" name="Months" totalsRowLabel="Total" dataDxfId="72" totalsRowDxfId="71"/>
    <tableColumn id="2" xr3:uid="{3DB60DE5-5D1F-4193-9D01-058A7E9A13BC}" name="Count" totalsRowFunction="sum" dataDxfId="70" totalsRowDxfId="69"/>
    <tableColumn id="3" xr3:uid="{29B56EDA-F459-4EEB-94D8-0ADCD1560B26}" name="Hours" totalsRowFunction="sum" dataDxfId="68" totalsRowDxfId="67"/>
  </tableColumns>
  <tableStyleInfo name="TableStyleMedium24"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1FA2FF-64BB-40EF-A32C-F49F0481C9FC}" name="Holiday_Hours_Input" displayName="Holiday_Hours_Input" ref="A1:B12" totalsRowShown="0" headerRowDxfId="15" dataDxfId="14" tableBorderDxfId="13">
  <autoFilter ref="A1:B12" xr:uid="{0B1FA2FF-64BB-40EF-A32C-F49F0481C9FC}">
    <filterColumn colId="0" hiddenButton="1"/>
    <filterColumn colId="1" hiddenButton="1"/>
  </autoFilter>
  <tableColumns count="2">
    <tableColumn id="1" xr3:uid="{92767AE2-73DD-415B-B709-1FD3638C2CE5}" name="Year" dataDxfId="12"/>
    <tableColumn id="2" xr3:uid="{DAEEF2AD-EEF8-4687-A68E-427EC5BE2CEE}" name="Annual Allowance (Hours)" dataDxfId="11"/>
  </tableColumns>
  <tableStyleInfo name="TableStyleMedium23"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BDCE85D-A078-44AB-97BE-58710867D241}" name="RTWC_Policy_Input" displayName="RTWC_Policy_Input" ref="H1:J7" totalsRowShown="0" headerRowDxfId="10" dataDxfId="9" tableBorderDxfId="8">
  <autoFilter ref="H1:J7" xr:uid="{EBDCE85D-A078-44AB-97BE-58710867D241}"/>
  <tableColumns count="3">
    <tableColumn id="1" xr3:uid="{15083C20-469E-4868-8DB7-8DAFB96E354F}" name="Process step" dataDxfId="7"/>
    <tableColumn id="2" xr3:uid="{61A443CE-D336-4E1F-937D-8370C7FFD808}" name="Potential outcome" dataDxfId="6"/>
    <tableColumn id="3" xr3:uid="{2185AAF0-2205-470C-A26E-E19493A0288F}" name="Months" dataDxfId="5"/>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9E063CA-A8D4-45E2-BB5F-9FBDFA47A920}" name="Holiday_Details" displayName="Holiday_Details" ref="B10:D15" totalsRowShown="0" headerRowDxfId="66" dataDxfId="64" headerRowBorderDxfId="65" tableBorderDxfId="63">
  <autoFilter ref="B10:D15" xr:uid="{E9E063CA-A8D4-45E2-BB5F-9FBDFA47A920}">
    <filterColumn colId="0" hiddenButton="1"/>
    <filterColumn colId="1" hiddenButton="1"/>
    <filterColumn colId="2" hiddenButton="1"/>
  </autoFilter>
  <tableColumns count="3">
    <tableColumn id="1" xr3:uid="{25F209B4-6A17-4991-888D-D23D9480A513}" name="Holiday Details" dataDxfId="62"/>
    <tableColumn id="2" xr3:uid="{DF44820C-77B4-48EB-98F0-64445E520422}" name="Days" dataDxfId="61">
      <calculatedColumnFormula>D11/7.5</calculatedColumnFormula>
    </tableColumn>
    <tableColumn id="3" xr3:uid="{8A4CBBBB-4409-4C0A-801F-EB9512F24004}" name="Hours" dataDxfId="60"/>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BC2D4E3-EDDE-4B66-98F4-C6CFDAD91C73}" name="Sickness_Details" displayName="Sickness_Details" ref="B33:D36" totalsRowShown="0" headerRowDxfId="59" dataDxfId="58" tableBorderDxfId="57">
  <autoFilter ref="B33:D36" xr:uid="{BBC2D4E3-EDDE-4B66-98F4-C6CFDAD91C73}">
    <filterColumn colId="0" hiddenButton="1"/>
    <filterColumn colId="1" hiddenButton="1"/>
    <filterColumn colId="2" hiddenButton="1"/>
  </autoFilter>
  <tableColumns count="3">
    <tableColumn id="1" xr3:uid="{7545616A-7F4B-47AE-9528-D98B46D532C6}" name="Sickness Details" dataDxfId="56" totalsRowDxfId="55"/>
    <tableColumn id="6" xr3:uid="{B985998E-67BC-41FB-99AF-E263636745C4}" name="Count" dataDxfId="54">
      <calculatedColumnFormula>COUNTIFS(Sickness_Data[Last Day],"&lt;"&amp;$C$41-365,Sickness_Data[Last Day],"&gt;"&amp;$C$41-730)</calculatedColumnFormula>
    </tableColumn>
    <tableColumn id="2" xr3:uid="{248FDE19-767F-4D2C-970B-D514DC13AC6B}" name="Days" dataDxfId="53" totalsRowDxfId="52">
      <calculatedColumnFormula>SUMIFS(Sickness_Data[Sick Days],Sickness_Data[Last Day],"&lt;"&amp;C40,Sickness_Data[Last Day],"&gt;"&amp;C40-365)</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5BE78D-3BA5-41A9-A7ED-EB6478FBF928}" name="Holiday_Data" displayName="Holiday_Data" ref="A1:E287" totalsRowShown="0" headerRowDxfId="51">
  <autoFilter ref="A1:E287" xr:uid="{980C1D4D-2182-4AD2-A59B-3115502FC807}"/>
  <sortState xmlns:xlrd2="http://schemas.microsoft.com/office/spreadsheetml/2017/richdata2" ref="A2:E2">
    <sortCondition ref="A1:A2"/>
  </sortState>
  <tableColumns count="5">
    <tableColumn id="1" xr3:uid="{0E5429F4-B29B-4477-B85C-FC2B5EB69C71}" name="Date" dataDxfId="50"/>
    <tableColumn id="3" xr3:uid="{EB2A38AD-F2C3-4627-A78C-91FD7A82CE45}" name="Hours" dataDxfId="49"/>
    <tableColumn id="2" xr3:uid="{9C4E17C4-0A50-4D35-A815-4479FC9CE1F9}" name="Comments" dataDxfId="48"/>
    <tableColumn id="5" xr3:uid="{8EEF205F-CD0E-43B8-ADE4-791CA7A3F606}" name="Accepted by" dataDxfId="47"/>
    <tableColumn id="4" xr3:uid="{054DD307-D5C6-4255-83A7-9D6CE1BDE68B}" name="Method" dataDxfId="46"/>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F5C1E9-91E7-4AF1-B562-9DDFA6662C8C}" name="Sickness_Data" displayName="Sickness_Data" ref="A8:H24" totalsRowShown="0" headerRowDxfId="45" dataDxfId="44" tableBorderDxfId="43">
  <autoFilter ref="A8:H24" xr:uid="{DF0144FA-F2E8-4013-A1F6-10239AC95C4E}"/>
  <tableColumns count="8">
    <tableColumn id="1" xr3:uid="{98836581-3064-43A5-BAE6-76BF935B673A}" name="First Day" dataDxfId="42"/>
    <tableColumn id="2" xr3:uid="{7443D8B0-EFD4-4A8A-97B6-D9893FE8DB42}" name="Last Day" dataDxfId="41"/>
    <tableColumn id="4" xr3:uid="{D7BF2EFE-91E5-4E84-9A99-DB378C402C57}" name="Reason" dataDxfId="40"/>
    <tableColumn id="5" xr3:uid="{C8851666-96AA-4B8B-AF0C-25EC9F283D81}" name="Meeting" dataDxfId="39"/>
    <tableColumn id="10" xr3:uid="{F433D841-31DC-4E6F-A721-00075087D5F9}" name="Review Period" dataDxfId="38">
      <calculatedColumnFormula>IF(Sickness_Data[[#This Row],[Meeting]]="","",VLOOKUP(Sickness_Data[[#This Row],[Meeting]],RTWC_Policy_Input[],3,FALSE))</calculatedColumnFormula>
    </tableColumn>
    <tableColumn id="11" xr3:uid="{4286B95D-C083-43C2-B20E-A0A784394D40}" name="Review End" dataDxfId="37">
      <calculatedColumnFormula>IF(OR(Sickness_Data[[#This Row],[Last Day]]="",Sickness_Data[[#This Row],[Review Period]]="",Sickness_Data[[#This Row],[Review Period]]=0),"",EDATE(Sickness_Data[[#This Row],[Last Day]],Sickness_Data[[#This Row],[Review Period]]))</calculatedColumnFormula>
    </tableColumn>
    <tableColumn id="6" xr3:uid="{7EC91DC6-8C83-4EB8-9AAB-6D39F5ADCE2A}" name="Status" dataDxfId="36">
      <calculatedColumnFormula array="1">_xlfn.IFS(Sickness_Data[[#This Row],[Review End]]="","",$B$4&gt;Sickness_Data[[#This Row],[Review End]],"Ended",TRUE,"In Process")</calculatedColumnFormula>
    </tableColumn>
    <tableColumn id="7" xr3:uid="{DC455572-325E-4B42-96DE-C4607AA0BF23}" name="Sick Days" dataDxfId="35">
      <calculatedColumnFormula>NETWORKDAYS(Sickness_Data[[#This Row],[First Day]],Sickness_Data[[#This Row],[Last Day]])</calculatedColumnFormula>
    </tableColumn>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6BC15C5-636F-4861-AB52-7A2662426D47}" name="Sickness_Policy_Data" displayName="Sickness_Policy_Data" ref="C6:E12" totalsRowShown="0" headerRowDxfId="34" dataDxfId="33" tableBorderDxfId="32">
  <autoFilter ref="C6:E12" xr:uid="{8CFEC1C3-EC0B-495A-91C4-DA286B6013FD}">
    <filterColumn colId="0" hiddenButton="1"/>
    <filterColumn colId="1" hiddenButton="1"/>
    <filterColumn colId="2" hiddenButton="1"/>
  </autoFilter>
  <tableColumns count="3">
    <tableColumn id="1" xr3:uid="{F449C999-1D78-4B7A-B8D0-117BFE699274}" name="Length of service" dataDxfId="31"/>
    <tableColumn id="2" xr3:uid="{B2D3A779-E795-457B-BDEA-6E9012EF88E4}" name="CSP entitlement" dataDxfId="30"/>
    <tableColumn id="3" xr3:uid="{F67548AA-08C3-4900-A297-05F5C21F2042}" name="Days" dataDxfId="29"/>
  </tableColumns>
  <tableStyleInfo name="TableStyleMedium2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40C4598-0E06-4DC1-9CA4-B8C4A7C8CB3B}" name="RTWC_Policy_Data" displayName="RTWC_Policy_Data" ref="C27:D32" totalsRowShown="0" headerRowDxfId="28" dataDxfId="27" tableBorderDxfId="26">
  <autoFilter ref="C27:D32" xr:uid="{575402A4-5B26-4802-9B2E-6F5462BE1611}">
    <filterColumn colId="0" hiddenButton="1"/>
    <filterColumn colId="1" hiddenButton="1"/>
  </autoFilter>
  <tableColumns count="2">
    <tableColumn id="1" xr3:uid="{3BF35152-4FD6-4032-A6CF-08B87EAC034D}" name="Process step" dataDxfId="25"/>
    <tableColumn id="2" xr3:uid="{40D61564-FFC3-43AD-989A-2DF8D4382746}" name="Potential outcome" dataDxfId="24"/>
  </tableColumns>
  <tableStyleInfo name="TableStyleMedium2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19CBC9-FD5E-429F-B806-5E47A9C19F3B}" name="Holiday_Accepted_By_Input" displayName="Holiday_Accepted_By_Input" ref="D1:D4" totalsRowShown="0" headerRowDxfId="23" dataDxfId="22" tableBorderDxfId="21">
  <autoFilter ref="D1:D4" xr:uid="{0C19CBC9-FD5E-429F-B806-5E47A9C19F3B}">
    <filterColumn colId="0" hiddenButton="1"/>
  </autoFilter>
  <tableColumns count="1">
    <tableColumn id="1" xr3:uid="{98D16003-8B36-4598-8C48-73244C7073E9}" name="Accepted by" dataDxfId="20"/>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4F24302-B726-4A29-871C-2631E71349F0}" name="Holiday_Method_Input" displayName="Holiday_Method_Input" ref="F1:F3" totalsRowShown="0" headerRowDxfId="19" dataDxfId="18" tableBorderDxfId="17">
  <autoFilter ref="F1:F3" xr:uid="{24F24302-B726-4A29-871C-2631E71349F0}">
    <filterColumn colId="0" hiddenButton="1"/>
  </autoFilter>
  <tableColumns count="1">
    <tableColumn id="1" xr3:uid="{7CDF09F8-F1BF-4F7B-9DB7-F5E7C7945888}" name="Method" dataDxfId="16"/>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table" Target="../tables/table8.xml"/><Relationship Id="rId4"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1A917-9534-4E87-9A95-B8445A200AB1}">
  <sheetPr>
    <pageSetUpPr fitToPage="1"/>
  </sheetPr>
  <dimension ref="A1:U49"/>
  <sheetViews>
    <sheetView tabSelected="1" zoomScaleNormal="100" workbookViewId="0">
      <selection activeCell="F8" sqref="F8"/>
    </sheetView>
  </sheetViews>
  <sheetFormatPr defaultColWidth="0" defaultRowHeight="15" zeroHeight="1" x14ac:dyDescent="0.25"/>
  <cols>
    <col min="1" max="1" width="0.85546875" style="57" customWidth="1"/>
    <col min="2" max="2" width="27" style="57" customWidth="1"/>
    <col min="3" max="3" width="11.85546875" style="57" bestFit="1" customWidth="1"/>
    <col min="4" max="4" width="14.140625" style="57" customWidth="1"/>
    <col min="5" max="5" width="2.42578125" style="57" customWidth="1"/>
    <col min="6" max="6" width="38.5703125" style="57" customWidth="1"/>
    <col min="7" max="7" width="2.5703125" style="57" customWidth="1"/>
    <col min="8" max="8" width="102" style="57" customWidth="1"/>
    <col min="9" max="9" width="2.5703125" style="57" customWidth="1"/>
    <col min="10" max="10" width="33.85546875" style="57" customWidth="1"/>
    <col min="11" max="11" width="2.5703125" style="57" customWidth="1"/>
    <col min="12" max="16" width="9.140625" style="57" hidden="1" customWidth="1"/>
    <col min="17" max="17" width="3.42578125" style="57" hidden="1" customWidth="1"/>
    <col min="18" max="21" width="9.140625" style="57" hidden="1" customWidth="1"/>
    <col min="22" max="16384" width="10.140625" style="57" hidden="1"/>
  </cols>
  <sheetData>
    <row r="1" spans="2:11" s="5" customFormat="1" ht="3" customHeight="1" thickBot="1" x14ac:dyDescent="0.3"/>
    <row r="2" spans="2:11" s="5" customFormat="1" ht="3" customHeight="1" x14ac:dyDescent="0.25">
      <c r="B2" s="6"/>
      <c r="C2" s="7"/>
      <c r="D2" s="8"/>
      <c r="E2" s="9"/>
      <c r="F2" s="9"/>
      <c r="G2" s="9"/>
      <c r="H2" s="9"/>
      <c r="I2" s="9"/>
      <c r="K2" s="9"/>
    </row>
    <row r="3" spans="2:11" s="5" customFormat="1" ht="18" customHeight="1" x14ac:dyDescent="0.35">
      <c r="B3" s="10" t="s">
        <v>28</v>
      </c>
      <c r="C3" s="131">
        <v>42078</v>
      </c>
      <c r="D3" s="132"/>
      <c r="F3" s="133" t="str">
        <f>_xlfn.TEXTJOIN("",FALSE,"Holidays Year ",D42,"/",RIGHT(D43,2))</f>
        <v>Holidays Year 2026/27</v>
      </c>
      <c r="G3" s="133"/>
      <c r="H3" s="133"/>
      <c r="I3" s="133"/>
      <c r="J3" s="133"/>
    </row>
    <row r="4" spans="2:11" s="5" customFormat="1" ht="1.5" customHeight="1" thickBot="1" x14ac:dyDescent="0.3">
      <c r="B4" s="11"/>
      <c r="C4" s="12"/>
      <c r="D4" s="13"/>
      <c r="E4" s="9"/>
      <c r="F4" s="133"/>
      <c r="G4" s="133"/>
      <c r="H4" s="133"/>
      <c r="I4" s="133"/>
      <c r="J4" s="133"/>
    </row>
    <row r="5" spans="2:11" s="5" customFormat="1" ht="9.75" customHeight="1" thickBot="1" x14ac:dyDescent="0.3">
      <c r="F5" s="133"/>
      <c r="G5" s="133"/>
      <c r="H5" s="133"/>
      <c r="I5" s="133"/>
      <c r="J5" s="133"/>
    </row>
    <row r="6" spans="2:11" s="5" customFormat="1" ht="3" customHeight="1" x14ac:dyDescent="0.25">
      <c r="B6" s="6"/>
      <c r="C6" s="58"/>
      <c r="D6" s="14"/>
      <c r="E6" s="9"/>
      <c r="F6" s="133"/>
      <c r="G6" s="133"/>
      <c r="H6" s="133"/>
      <c r="I6" s="133"/>
      <c r="J6" s="133"/>
    </row>
    <row r="7" spans="2:11" s="5" customFormat="1" ht="18" customHeight="1" x14ac:dyDescent="0.35">
      <c r="B7" s="10" t="s">
        <v>31</v>
      </c>
      <c r="D7" s="60">
        <v>2026</v>
      </c>
      <c r="E7" s="9"/>
      <c r="F7" s="133"/>
      <c r="G7" s="133"/>
      <c r="H7" s="133"/>
      <c r="I7" s="133"/>
      <c r="J7" s="133"/>
    </row>
    <row r="8" spans="2:11" s="5" customFormat="1" ht="1.5" customHeight="1" thickBot="1" x14ac:dyDescent="0.3">
      <c r="B8" s="11"/>
      <c r="C8" s="59"/>
      <c r="D8" s="15"/>
      <c r="E8" s="9"/>
      <c r="F8" s="9"/>
      <c r="G8" s="9"/>
      <c r="H8" s="9"/>
      <c r="I8" s="9"/>
      <c r="K8" s="9"/>
    </row>
    <row r="9" spans="2:11" s="5" customFormat="1" ht="9.75" customHeight="1" x14ac:dyDescent="0.25"/>
    <row r="10" spans="2:11" s="5" customFormat="1" ht="18.75" x14ac:dyDescent="0.3">
      <c r="B10" s="16" t="s">
        <v>23</v>
      </c>
      <c r="C10" s="97" t="s">
        <v>6</v>
      </c>
      <c r="D10" s="98" t="s">
        <v>5</v>
      </c>
    </row>
    <row r="11" spans="2:11" s="5" customFormat="1" ht="14.25" customHeight="1" x14ac:dyDescent="0.25">
      <c r="B11" s="17" t="s">
        <v>11</v>
      </c>
      <c r="C11" s="18">
        <f>D11/7.5</f>
        <v>35</v>
      </c>
      <c r="D11" s="17">
        <f>VLOOKUP(D42,Holiday_Hours_Input[],2,FALSE)</f>
        <v>262.5</v>
      </c>
    </row>
    <row r="12" spans="2:11" s="5" customFormat="1" ht="14.25" customHeight="1" x14ac:dyDescent="0.25">
      <c r="B12" s="19" t="s">
        <v>122</v>
      </c>
      <c r="C12" s="20">
        <f ca="1">D12/7.5</f>
        <v>11</v>
      </c>
      <c r="D12" s="21">
        <f ca="1">IF(C41&lt;C42,0,IF(C41&gt;C43,SUMIFS(Holiday_Data[Hours],Holiday_Data[Date],"&gt;="&amp;C42,Holiday_Data[Date],"&lt;="&amp;C43),SUMIFS(Holiday_Data[Hours],Holiday_Data[Date],"&gt;="&amp;C42,Holiday_Data[Date],"&lt;="&amp;C41)))</f>
        <v>82.5</v>
      </c>
    </row>
    <row r="13" spans="2:11" s="5" customFormat="1" ht="14.25" customHeight="1" x14ac:dyDescent="0.25">
      <c r="B13" s="22" t="s">
        <v>12</v>
      </c>
      <c r="C13" s="23">
        <f ca="1">D13/7.5</f>
        <v>16.5</v>
      </c>
      <c r="D13" s="24">
        <f ca="1">IF(C41 &lt; C42, SUMIFS(Holiday_Data[Hours], Holiday_Data[Date], "&gt;=" &amp; C42, Holiday_Data[Date], "&lt;=" &amp; C43), IF(C41 &gt; C43, 0, SUMIFS(Holiday_Data[Hours], Holiday_Data[Date], "&gt;" &amp; C41, Holiday_Data[Date], "&lt;=" &amp; C43)))</f>
        <v>123.75</v>
      </c>
    </row>
    <row r="14" spans="2:11" s="5" customFormat="1" ht="14.25" customHeight="1" x14ac:dyDescent="0.25">
      <c r="B14" s="25" t="s">
        <v>13</v>
      </c>
      <c r="C14" s="26">
        <f ca="1">D14/7.5</f>
        <v>27.5</v>
      </c>
      <c r="D14" s="25">
        <f ca="1">D12+D13</f>
        <v>206.25</v>
      </c>
    </row>
    <row r="15" spans="2:11" s="5" customFormat="1" ht="14.25" customHeight="1" x14ac:dyDescent="0.25">
      <c r="B15" s="27" t="s">
        <v>14</v>
      </c>
      <c r="C15" s="28">
        <f ca="1">D15/7.5</f>
        <v>7.5</v>
      </c>
      <c r="D15" s="27">
        <f ca="1">D11-D14</f>
        <v>56.25</v>
      </c>
    </row>
    <row r="16" spans="2:11" s="5" customFormat="1" ht="9.75" customHeight="1" x14ac:dyDescent="0.25"/>
    <row r="17" spans="2:6" s="5" customFormat="1" ht="18.75" x14ac:dyDescent="0.3">
      <c r="B17" s="32" t="s">
        <v>7</v>
      </c>
      <c r="C17" s="99" t="s">
        <v>25</v>
      </c>
      <c r="D17" s="99" t="s">
        <v>5</v>
      </c>
    </row>
    <row r="18" spans="2:6" s="5" customFormat="1" ht="14.25" customHeight="1" x14ac:dyDescent="0.25">
      <c r="B18" s="33" t="str">
        <f>_xlfn.TEXTJOIN(" ",FALSE,"Apr",$D$42)</f>
        <v>Apr 2026</v>
      </c>
      <c r="C18" s="1">
        <f>COUNTIFS(Holidays!A:A,"&gt;="&amp;DATE(D42,4,6),Holidays!A:A,"&lt;"&amp;DATE(D42,5,1))</f>
        <v>1</v>
      </c>
      <c r="D18" s="34">
        <f>SUMIFS(Holidays!B:B,Holidays!A:A,"&gt;="&amp;DATE(D42,4,6),Holidays!A:A,"&lt;"&amp;DATE(D42,5,1))</f>
        <v>7.5</v>
      </c>
    </row>
    <row r="19" spans="2:6" s="5" customFormat="1" ht="14.25" customHeight="1" x14ac:dyDescent="0.25">
      <c r="B19" s="33" t="str">
        <f>_xlfn.TEXTJOIN(" ",FALSE,"May",$D$42)</f>
        <v>May 2026</v>
      </c>
      <c r="C19" s="1">
        <f>COUNTIFS(Holidays!A:A,"&gt;="&amp;DATE(D42,5,1),Holidays!A:A,"&lt;"&amp;DATE(D42,6,1))</f>
        <v>1</v>
      </c>
      <c r="D19" s="34">
        <f>SUMIFS(Holidays!B:B,Holidays!A:A,"&gt;="&amp;DATE(D42,5,1),Holidays!A:A,"&lt;"&amp;DATE(D42,6,1))</f>
        <v>7.5</v>
      </c>
    </row>
    <row r="20" spans="2:6" s="5" customFormat="1" ht="14.25" customHeight="1" x14ac:dyDescent="0.25">
      <c r="B20" s="33" t="str">
        <f>_xlfn.TEXTJOIN(" ",FALSE,"Jun",$D$42)</f>
        <v>Jun 2026</v>
      </c>
      <c r="C20" s="1">
        <f>COUNTIFS(Holidays!A:A,"&gt;="&amp;DATE(D42,6,1),Holidays!A:A,"&lt;"&amp;DATE(D42,7,1))</f>
        <v>5</v>
      </c>
      <c r="D20" s="34">
        <f>SUMIFS(Holidays!B:B,Holidays!A:A,"&gt;="&amp;DATE(D42,6,1),Holidays!A:A,"&lt;"&amp;DATE(D42,7,1))</f>
        <v>37.5</v>
      </c>
    </row>
    <row r="21" spans="2:6" s="5" customFormat="1" ht="14.25" customHeight="1" x14ac:dyDescent="0.25">
      <c r="B21" s="33" t="str">
        <f>_xlfn.TEXTJOIN(" ",FALSE,"Jul",$D$42)</f>
        <v>Jul 2026</v>
      </c>
      <c r="C21" s="1">
        <f>COUNTIFS(Holidays!A:A,"&gt;="&amp;DATE(D42,7,1),Holidays!A:A,"&lt;"&amp;DATE(D42,8,1))</f>
        <v>1</v>
      </c>
      <c r="D21" s="34">
        <f>SUMIFS(Holidays!B:B,Holidays!A:A,"&gt;="&amp;DATE(D42,7,1),Holidays!A:A,"&lt;"&amp;DATE(D42,8,1))</f>
        <v>7.5</v>
      </c>
    </row>
    <row r="22" spans="2:6" s="5" customFormat="1" ht="14.25" customHeight="1" x14ac:dyDescent="0.25">
      <c r="B22" s="33" t="str">
        <f>_xlfn.TEXTJOIN(" ",FALSE,"Aug",$D$42)</f>
        <v>Aug 2026</v>
      </c>
      <c r="C22" s="1">
        <f>COUNTIFS(Holidays!A:A,"&gt;="&amp;DATE(D42,8,1),Holidays!A:A,"&lt;"&amp;DATE(D42,9,1))</f>
        <v>3</v>
      </c>
      <c r="D22" s="34">
        <f>SUMIFS(Holidays!B:B,Holidays!A:A,"&gt;="&amp;DATE(D42,8,1),Holidays!A:A,"&lt;"&amp;DATE(D42,9,1))</f>
        <v>22.5</v>
      </c>
    </row>
    <row r="23" spans="2:6" s="5" customFormat="1" ht="14.25" customHeight="1" x14ac:dyDescent="0.25">
      <c r="B23" s="33" t="str">
        <f>_xlfn.TEXTJOIN(" ",FALSE,"Sep",$D$42)</f>
        <v>Sep 2026</v>
      </c>
      <c r="C23" s="1">
        <f>COUNTIFS(Holidays!A:A,"&gt;="&amp;DATE(D42,9,1),Holidays!A:A,"&lt;"&amp;DATE(D42,10,1))</f>
        <v>1</v>
      </c>
      <c r="D23" s="34">
        <f>SUMIFS(Holidays!B:B,Holidays!A:A,"&gt;="&amp;DATE(D42,9,1),Holidays!A:A,"&lt;"&amp;DATE(D42,10,1))</f>
        <v>7.5</v>
      </c>
    </row>
    <row r="24" spans="2:6" s="5" customFormat="1" ht="14.25" customHeight="1" x14ac:dyDescent="0.25">
      <c r="B24" s="33" t="str">
        <f>_xlfn.TEXTJOIN(" ",FALSE,"Oct",$D$42)</f>
        <v>Oct 2026</v>
      </c>
      <c r="C24" s="1">
        <f>COUNTIFS(Holidays!A:A,"&gt;="&amp;DATE(D42,10,1),Holidays!A:A,"&lt;"&amp;DATE(D42,11,1))</f>
        <v>5</v>
      </c>
      <c r="D24" s="34">
        <f>SUMIFS(Holidays!B:B,Holidays!A:A,"&gt;="&amp;DATE(D42,10,1),Holidays!A:A,"&lt;"&amp;DATE(D42,11,1))</f>
        <v>37.5</v>
      </c>
    </row>
    <row r="25" spans="2:6" s="5" customFormat="1" ht="14.25" customHeight="1" x14ac:dyDescent="0.25">
      <c r="B25" s="33" t="str">
        <f>_xlfn.TEXTJOIN(" ",FALSE,"Nov",$D$42)</f>
        <v>Nov 2026</v>
      </c>
      <c r="C25" s="1">
        <f>COUNTIFS(Holidays!A:A,"&gt;="&amp;DATE(D42,11,1),Holidays!A:A,"&lt;"&amp;DATE(D42,12,1))</f>
        <v>0</v>
      </c>
      <c r="D25" s="34">
        <f>SUMIFS(Holidays!B:B,Holidays!A:A,"&gt;="&amp;DATE(D42,11,1),Holidays!A:A,"&lt;"&amp;DATE(D42,12,1))</f>
        <v>0</v>
      </c>
    </row>
    <row r="26" spans="2:6" s="5" customFormat="1" ht="14.25" customHeight="1" x14ac:dyDescent="0.25">
      <c r="B26" s="33" t="str">
        <f>_xlfn.TEXTJOIN(" ",FALSE,"Dec",$D$42)</f>
        <v>Dec 2026</v>
      </c>
      <c r="C26" s="1">
        <f>COUNTIFS(Holidays!A:A,"&gt;="&amp;DATE(D42,12,1),Holidays!A:A,"&lt;"&amp;DATE(D43,1,1))</f>
        <v>5</v>
      </c>
      <c r="D26" s="34">
        <f>SUMIFS(Holidays!B:B,Holidays!A:A,"&gt;="&amp;DATE(D42,12,1),Holidays!A:A,"&lt;"&amp;DATE(D43,1,1))</f>
        <v>37.5</v>
      </c>
    </row>
    <row r="27" spans="2:6" s="5" customFormat="1" ht="14.25" customHeight="1" x14ac:dyDescent="0.25">
      <c r="B27" s="33" t="str">
        <f>_xlfn.TEXTJOIN(" ",FALSE,"Jan",$D$43)</f>
        <v>Jan 2027</v>
      </c>
      <c r="C27" s="1">
        <f>COUNTIFS(Holidays!A:A,"&gt;="&amp;DATE(D43,1,1),Holidays!A:A,"&lt;"&amp;DATE(D43,2,1))</f>
        <v>0</v>
      </c>
      <c r="D27" s="34">
        <f>SUMIFS(Holidays!B:B,Holidays!A:A,"&gt;="&amp;DATE(D43,1,1),Holidays!A:A,"&lt;"&amp;DATE(D43,2,1))</f>
        <v>0</v>
      </c>
    </row>
    <row r="28" spans="2:6" s="5" customFormat="1" ht="14.25" customHeight="1" x14ac:dyDescent="0.25">
      <c r="B28" s="33" t="str">
        <f>_xlfn.TEXTJOIN(" ",FALSE,"Feb",$D$43)</f>
        <v>Feb 2027</v>
      </c>
      <c r="C28" s="1">
        <f>COUNTIFS(Holidays!A:A,"&gt;="&amp;DATE(D43,2,1),Holidays!A:A,"&lt;"&amp;DATE(D43,3,1))</f>
        <v>5</v>
      </c>
      <c r="D28" s="34">
        <f>SUMIFS(Holidays!B:B,Holidays!A:A,"&gt;="&amp;DATE(D43,2,1),Holidays!A:A,"&lt;"&amp;DATE(D43,3,1))</f>
        <v>37.5</v>
      </c>
      <c r="F28" s="35"/>
    </row>
    <row r="29" spans="2:6" s="5" customFormat="1" ht="14.25" customHeight="1" x14ac:dyDescent="0.25">
      <c r="B29" s="33" t="str">
        <f>_xlfn.TEXTJOIN(" ",FALSE,"Mar",$D$43)</f>
        <v>Mar 2027</v>
      </c>
      <c r="C29" s="1">
        <f>COUNTIFS(Holidays!A:A,"&gt;="&amp;DATE(D43,3,1),Holidays!A:A,"&lt;"&amp;DATE(D43,4,1))</f>
        <v>1</v>
      </c>
      <c r="D29" s="34">
        <f>SUMIFS(Holidays!B:B,Holidays!A:A,"&gt;="&amp;DATE(D43,3,1),Holidays!A:A,"&lt;"&amp;DATE(D43,4,1))</f>
        <v>3.75</v>
      </c>
    </row>
    <row r="30" spans="2:6" s="5" customFormat="1" ht="14.25" customHeight="1" x14ac:dyDescent="0.25">
      <c r="B30" s="33" t="str">
        <f>_xlfn.TEXTJOIN(" ",FALSE,"Apr",$D$43)</f>
        <v>Apr 2027</v>
      </c>
      <c r="C30" s="1">
        <f>COUNTIFS(Holidays!A:A,"&gt;="&amp;DATE(D43,4,1),Holidays!A:A,"&lt;"&amp;DATE(D43,4,6))</f>
        <v>0</v>
      </c>
      <c r="D30" s="34">
        <f>SUMIFS(Holidays!B:B,Holidays!A:A,"&gt;="&amp;DATE(D43,4,1),Holidays!A:A,"&lt;"&amp;DATE(D43,4,6))</f>
        <v>0</v>
      </c>
    </row>
    <row r="31" spans="2:6" s="5" customFormat="1" ht="14.25" customHeight="1" x14ac:dyDescent="0.25">
      <c r="B31" s="36" t="s">
        <v>10</v>
      </c>
      <c r="C31" s="37">
        <f>SUBTOTAL(109,Sum_of_Holiday_Months[Count])</f>
        <v>28</v>
      </c>
      <c r="D31" s="37">
        <f>SUBTOTAL(109,Sum_of_Holiday_Months[Hours])</f>
        <v>206.25</v>
      </c>
    </row>
    <row r="32" spans="2:6" s="5" customFormat="1" ht="9.75" customHeight="1" x14ac:dyDescent="0.25"/>
    <row r="33" spans="2:4" s="5" customFormat="1" ht="18.75" x14ac:dyDescent="0.3">
      <c r="B33" s="122" t="s">
        <v>24</v>
      </c>
      <c r="C33" s="123" t="s">
        <v>25</v>
      </c>
      <c r="D33" s="124" t="s">
        <v>6</v>
      </c>
    </row>
    <row r="34" spans="2:4" s="5" customFormat="1" ht="14.25" customHeight="1" x14ac:dyDescent="0.25">
      <c r="B34" s="125" t="s">
        <v>117</v>
      </c>
      <c r="C34" s="126">
        <f ca="1">COUNTIFS(Sickness_Data[Last Day],"&gt;"&amp;EDATE($C$41,-18),Sickness_Data[Last Day],"&lt;"&amp;$C$41)</f>
        <v>2</v>
      </c>
      <c r="D34" s="126"/>
    </row>
    <row r="35" spans="2:4" s="5" customFormat="1" ht="14.25" customHeight="1" x14ac:dyDescent="0.25">
      <c r="B35" s="127" t="s">
        <v>51</v>
      </c>
      <c r="C35" s="128"/>
      <c r="D35" s="128">
        <f ca="1">SUMIFS(Sickness_Data[Sick Days],Sickness_Data[Last Day],"&gt;"&amp;EDATE($C$41,-12),Sickness_Data[Last Day],"&lt;"&amp;$C$41)</f>
        <v>7</v>
      </c>
    </row>
    <row r="36" spans="2:4" s="5" customFormat="1" ht="14.25" customHeight="1" x14ac:dyDescent="0.25">
      <c r="B36" s="129" t="s">
        <v>30</v>
      </c>
      <c r="C36" s="29"/>
      <c r="D36" s="130" cm="1">
        <f t="array" aca="1" ref="D36" ca="1">_xlfn.IFS(
C41&lt;=EDATE(C3,6),INDEX(Sickness_Policy_Data[Days],1),
C41&lt;=EDATE(C3,24),INDEX(Sickness_Policy_Data[Days],2),
C41&lt;=EDATE(C3,60),INDEX(Sickness_Policy_Data[Days],3),
C41&lt;=EDATE(C3,96),INDEX(Sickness_Policy_Data[Days],4),
C41&lt;=EDATE(C3,144),INDEX(Sickness_Policy_Data[Days],5),
TRUE,INDEX(Sickness_Policy_Data[Days],6)
)</f>
        <v>40</v>
      </c>
    </row>
    <row r="37" spans="2:4" s="5" customFormat="1" ht="9.75" customHeight="1" x14ac:dyDescent="0.25"/>
    <row r="38" spans="2:4" s="5" customFormat="1" ht="14.25" customHeight="1" x14ac:dyDescent="0.25">
      <c r="B38" s="134">
        <f ca="1">D36-D35</f>
        <v>33</v>
      </c>
      <c r="C38" s="134"/>
      <c r="D38" s="134"/>
    </row>
    <row r="39" spans="2:4" s="5" customFormat="1" ht="14.25" customHeight="1" x14ac:dyDescent="0.25">
      <c r="B39" s="30" t="str" cm="1">
        <f t="array" aca="1" ref="B39" ca="1">_xlfn.IFS(D35&gt;D36,"",C34&gt;=3,"however, the first 2 days will be unpaid.",C34&lt;3,"even the first 2 days will be paid.")</f>
        <v>even the first 2 days will be paid.</v>
      </c>
      <c r="C39" s="31"/>
      <c r="D39" s="31"/>
    </row>
    <row r="40" spans="2:4" s="5" customFormat="1" ht="9.75" hidden="1" customHeight="1" x14ac:dyDescent="0.25"/>
    <row r="41" spans="2:4" s="5" customFormat="1" ht="14.25" hidden="1" customHeight="1" x14ac:dyDescent="0.25">
      <c r="B41" s="38" t="s">
        <v>0</v>
      </c>
      <c r="C41" s="39">
        <f ca="1">TODAY()</f>
        <v>46251</v>
      </c>
      <c r="D41" s="40"/>
    </row>
    <row r="42" spans="2:4" s="5" customFormat="1" ht="14.25" hidden="1" customHeight="1" x14ac:dyDescent="0.25">
      <c r="B42" s="41" t="s">
        <v>2</v>
      </c>
      <c r="C42" s="42">
        <f>DATE($D$42,4,6)</f>
        <v>46118</v>
      </c>
      <c r="D42" s="43">
        <f>D7</f>
        <v>2026</v>
      </c>
    </row>
    <row r="43" spans="2:4" s="5" customFormat="1" ht="14.25" hidden="1" customHeight="1" x14ac:dyDescent="0.25">
      <c r="B43" s="41" t="s">
        <v>3</v>
      </c>
      <c r="C43" s="42">
        <f>DATE($D$43,4,5)</f>
        <v>46482</v>
      </c>
      <c r="D43" s="43">
        <f>D42+1</f>
        <v>2027</v>
      </c>
    </row>
    <row r="44" spans="2:4" s="5" customFormat="1" ht="9.75" hidden="1" customHeight="1" x14ac:dyDescent="0.25">
      <c r="B44" s="44"/>
      <c r="C44" s="45"/>
      <c r="D44" s="46"/>
    </row>
    <row r="45" spans="2:4" s="5" customFormat="1" ht="14.25" hidden="1" customHeight="1" x14ac:dyDescent="0.25">
      <c r="B45" s="47" t="s">
        <v>26</v>
      </c>
      <c r="C45" s="48" t="s">
        <v>6</v>
      </c>
      <c r="D45" s="49" t="s">
        <v>5</v>
      </c>
    </row>
    <row r="46" spans="2:4" s="5" customFormat="1" ht="14.25" hidden="1" customHeight="1" x14ac:dyDescent="0.25">
      <c r="B46" s="41" t="s">
        <v>53</v>
      </c>
      <c r="C46" s="50">
        <f>NETWORKDAYS(C42,C43)</f>
        <v>261</v>
      </c>
      <c r="D46" s="43">
        <f>C46*7.5</f>
        <v>1957.5</v>
      </c>
    </row>
    <row r="47" spans="2:4" s="5" customFormat="1" ht="14.25" hidden="1" customHeight="1" x14ac:dyDescent="0.25">
      <c r="B47" s="51" t="s">
        <v>1</v>
      </c>
      <c r="C47" s="52">
        <f ca="1">D47/7.5</f>
        <v>96</v>
      </c>
      <c r="D47" s="53">
        <f ca="1">IF((NETWORKDAYS.INTL(C41,C42)*-7.5)&gt;0,NETWORKDAYS.INTL(C41,C42)*-7.5,0)</f>
        <v>720</v>
      </c>
    </row>
    <row r="48" spans="2:4" s="5" customFormat="1" ht="15.75" hidden="1" x14ac:dyDescent="0.25">
      <c r="B48" s="54" t="s">
        <v>52</v>
      </c>
      <c r="C48" s="55">
        <f ca="1">D48/7.5</f>
        <v>166</v>
      </c>
      <c r="D48" s="56">
        <f ca="1">NETWORKDAYS.INTL(C41,C43)*7.5</f>
        <v>1245</v>
      </c>
    </row>
    <row r="49" s="5" customFormat="1" ht="9.75" customHeight="1" x14ac:dyDescent="0.25"/>
  </sheetData>
  <sheetProtection selectLockedCells="1"/>
  <mergeCells count="3">
    <mergeCell ref="C3:D3"/>
    <mergeCell ref="F3:J7"/>
    <mergeCell ref="B38:D38"/>
  </mergeCells>
  <dataValidations count="2">
    <dataValidation type="list" allowBlank="1" showInputMessage="1" showErrorMessage="1" sqref="D7" xr:uid="{8518F624-54CF-4D5D-B951-DFE4C54D82D3}">
      <formula1>INDIRECT("Holiday_Hours_Input[Year]")</formula1>
    </dataValidation>
    <dataValidation type="list" allowBlank="1" showInputMessage="1" showErrorMessage="1" sqref="D6 C2 D8 C4" xr:uid="{05218FB5-82C5-4A11-98F8-BA1EA36C7A7E}">
      <formula1>#REF!</formula1>
    </dataValidation>
  </dataValidations>
  <pageMargins left="0.7" right="0.7" top="0.75" bottom="0.75" header="0.3" footer="0.3"/>
  <pageSetup paperSize="9" scale="55" orientation="landscape" horizontalDpi="0" verticalDpi="0" r:id="rId1"/>
  <drawing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EB0D-D2BF-4F6C-A119-3E156B3957CF}">
  <dimension ref="A1:F287"/>
  <sheetViews>
    <sheetView workbookViewId="0">
      <pane ySplit="1" topLeftCell="A263" activePane="bottomLeft" state="frozen"/>
      <selection pane="bottomLeft" activeCell="A288" sqref="A288"/>
    </sheetView>
  </sheetViews>
  <sheetFormatPr defaultColWidth="9.140625" defaultRowHeight="15.75" x14ac:dyDescent="0.25"/>
  <cols>
    <col min="1" max="1" width="13.5703125" style="3" customWidth="1"/>
    <col min="2" max="2" width="11.140625" style="3" customWidth="1"/>
    <col min="3" max="3" width="64.42578125" style="1" customWidth="1"/>
    <col min="4" max="4" width="17.7109375" style="3" bestFit="1" customWidth="1"/>
    <col min="5" max="5" width="12.7109375" style="3" bestFit="1" customWidth="1"/>
    <col min="7" max="18" width="9.140625" style="1" customWidth="1"/>
    <col min="19" max="16384" width="9.140625" style="1"/>
  </cols>
  <sheetData>
    <row r="1" spans="1:6" s="2" customFormat="1" ht="18.75" x14ac:dyDescent="0.3">
      <c r="A1" s="4" t="s">
        <v>4</v>
      </c>
      <c r="B1" s="4" t="s">
        <v>5</v>
      </c>
      <c r="C1" s="4" t="s">
        <v>9</v>
      </c>
      <c r="D1" s="4" t="s">
        <v>16</v>
      </c>
      <c r="E1" s="4" t="s">
        <v>17</v>
      </c>
    </row>
    <row r="2" spans="1:6" x14ac:dyDescent="0.25">
      <c r="A2" s="106">
        <v>42482</v>
      </c>
      <c r="B2" s="107">
        <v>7.5</v>
      </c>
      <c r="C2" t="s">
        <v>60</v>
      </c>
      <c r="D2" t="s">
        <v>54</v>
      </c>
      <c r="E2" t="s">
        <v>18</v>
      </c>
      <c r="F2" s="1"/>
    </row>
    <row r="3" spans="1:6" x14ac:dyDescent="0.25">
      <c r="A3" s="106">
        <v>42527</v>
      </c>
      <c r="B3" s="107">
        <v>7.5</v>
      </c>
      <c r="C3" t="s">
        <v>71</v>
      </c>
      <c r="D3" t="s">
        <v>55</v>
      </c>
      <c r="E3" t="s">
        <v>18</v>
      </c>
    </row>
    <row r="4" spans="1:6" x14ac:dyDescent="0.25">
      <c r="A4" s="106">
        <v>42528</v>
      </c>
      <c r="B4" s="107">
        <v>7.5</v>
      </c>
      <c r="C4" t="s">
        <v>71</v>
      </c>
      <c r="D4" t="s">
        <v>55</v>
      </c>
      <c r="E4" t="s">
        <v>18</v>
      </c>
    </row>
    <row r="5" spans="1:6" x14ac:dyDescent="0.25">
      <c r="A5" s="106">
        <v>42529</v>
      </c>
      <c r="B5" s="107">
        <v>7.5</v>
      </c>
      <c r="C5" t="s">
        <v>71</v>
      </c>
      <c r="D5" t="s">
        <v>55</v>
      </c>
      <c r="E5" t="s">
        <v>18</v>
      </c>
    </row>
    <row r="6" spans="1:6" x14ac:dyDescent="0.25">
      <c r="A6" s="106">
        <v>42530</v>
      </c>
      <c r="B6" s="107">
        <v>7.5</v>
      </c>
      <c r="C6" t="s">
        <v>71</v>
      </c>
      <c r="D6" t="s">
        <v>55</v>
      </c>
      <c r="E6" t="s">
        <v>18</v>
      </c>
    </row>
    <row r="7" spans="1:6" x14ac:dyDescent="0.25">
      <c r="A7" s="106">
        <v>42531</v>
      </c>
      <c r="B7" s="107">
        <v>7.5</v>
      </c>
      <c r="C7" t="s">
        <v>71</v>
      </c>
      <c r="D7" t="s">
        <v>55</v>
      </c>
      <c r="E7" t="s">
        <v>18</v>
      </c>
    </row>
    <row r="8" spans="1:6" x14ac:dyDescent="0.25">
      <c r="A8" s="106">
        <v>42576</v>
      </c>
      <c r="B8" s="107">
        <v>7.5</v>
      </c>
      <c r="C8" t="s">
        <v>72</v>
      </c>
      <c r="D8" t="s">
        <v>56</v>
      </c>
      <c r="E8" t="s">
        <v>18</v>
      </c>
    </row>
    <row r="9" spans="1:6" x14ac:dyDescent="0.25">
      <c r="A9" s="106">
        <v>42577</v>
      </c>
      <c r="B9" s="107">
        <v>7.5</v>
      </c>
      <c r="C9" t="s">
        <v>72</v>
      </c>
      <c r="D9" t="s">
        <v>56</v>
      </c>
      <c r="E9" t="s">
        <v>18</v>
      </c>
    </row>
    <row r="10" spans="1:6" x14ac:dyDescent="0.25">
      <c r="A10" s="106">
        <v>42578</v>
      </c>
      <c r="B10" s="107">
        <v>7.5</v>
      </c>
      <c r="C10" t="s">
        <v>72</v>
      </c>
      <c r="D10" t="s">
        <v>56</v>
      </c>
      <c r="E10" t="s">
        <v>18</v>
      </c>
    </row>
    <row r="11" spans="1:6" x14ac:dyDescent="0.25">
      <c r="A11" s="106">
        <v>42579</v>
      </c>
      <c r="B11" s="107">
        <v>7.5</v>
      </c>
      <c r="C11" t="s">
        <v>72</v>
      </c>
      <c r="D11" t="s">
        <v>56</v>
      </c>
      <c r="E11" t="s">
        <v>18</v>
      </c>
    </row>
    <row r="12" spans="1:6" x14ac:dyDescent="0.25">
      <c r="A12" s="106">
        <v>42580</v>
      </c>
      <c r="B12" s="107">
        <v>7.5</v>
      </c>
      <c r="C12" t="s">
        <v>72</v>
      </c>
      <c r="D12" t="s">
        <v>56</v>
      </c>
      <c r="E12" t="s">
        <v>18</v>
      </c>
    </row>
    <row r="13" spans="1:6" x14ac:dyDescent="0.25">
      <c r="A13" s="106">
        <v>42600</v>
      </c>
      <c r="B13" s="107">
        <v>7.5</v>
      </c>
      <c r="C13" t="s">
        <v>73</v>
      </c>
      <c r="D13" t="s">
        <v>54</v>
      </c>
      <c r="E13" t="s">
        <v>18</v>
      </c>
    </row>
    <row r="14" spans="1:6" x14ac:dyDescent="0.25">
      <c r="A14" s="106">
        <v>42601</v>
      </c>
      <c r="B14" s="107">
        <v>7.5</v>
      </c>
      <c r="C14" t="s">
        <v>73</v>
      </c>
      <c r="D14" t="s">
        <v>54</v>
      </c>
      <c r="E14" t="s">
        <v>18</v>
      </c>
    </row>
    <row r="15" spans="1:6" x14ac:dyDescent="0.25">
      <c r="A15" s="106">
        <v>42671</v>
      </c>
      <c r="B15" s="107">
        <v>7.5</v>
      </c>
      <c r="C15" t="s">
        <v>61</v>
      </c>
      <c r="D15" t="s">
        <v>55</v>
      </c>
      <c r="E15" t="s">
        <v>18</v>
      </c>
    </row>
    <row r="16" spans="1:6" x14ac:dyDescent="0.25">
      <c r="A16" s="106">
        <v>42723</v>
      </c>
      <c r="B16" s="107">
        <v>7.5</v>
      </c>
      <c r="C16" t="s">
        <v>62</v>
      </c>
      <c r="D16" t="s">
        <v>55</v>
      </c>
      <c r="E16" t="s">
        <v>18</v>
      </c>
    </row>
    <row r="17" spans="1:5" x14ac:dyDescent="0.25">
      <c r="A17" s="106">
        <v>42724</v>
      </c>
      <c r="B17" s="107">
        <v>7.5</v>
      </c>
      <c r="C17" t="s">
        <v>62</v>
      </c>
      <c r="D17" t="s">
        <v>55</v>
      </c>
      <c r="E17" t="s">
        <v>18</v>
      </c>
    </row>
    <row r="18" spans="1:5" x14ac:dyDescent="0.25">
      <c r="A18" s="106">
        <v>42725</v>
      </c>
      <c r="B18" s="107">
        <v>7.5</v>
      </c>
      <c r="C18" t="s">
        <v>62</v>
      </c>
      <c r="D18" t="s">
        <v>55</v>
      </c>
      <c r="E18" t="s">
        <v>18</v>
      </c>
    </row>
    <row r="19" spans="1:5" x14ac:dyDescent="0.25">
      <c r="A19" s="106">
        <v>42726</v>
      </c>
      <c r="B19" s="107">
        <v>7.5</v>
      </c>
      <c r="C19" t="s">
        <v>62</v>
      </c>
      <c r="D19" t="s">
        <v>55</v>
      </c>
      <c r="E19" t="s">
        <v>18</v>
      </c>
    </row>
    <row r="20" spans="1:5" x14ac:dyDescent="0.25">
      <c r="A20" s="106">
        <v>42727</v>
      </c>
      <c r="B20" s="107">
        <v>7.5</v>
      </c>
      <c r="C20" t="s">
        <v>62</v>
      </c>
      <c r="D20" t="s">
        <v>55</v>
      </c>
      <c r="E20" t="s">
        <v>18</v>
      </c>
    </row>
    <row r="21" spans="1:5" x14ac:dyDescent="0.25">
      <c r="A21" s="106">
        <v>42779</v>
      </c>
      <c r="B21" s="107">
        <v>7.5</v>
      </c>
      <c r="C21" t="s">
        <v>63</v>
      </c>
      <c r="D21" t="s">
        <v>56</v>
      </c>
      <c r="E21" t="s">
        <v>57</v>
      </c>
    </row>
    <row r="22" spans="1:5" x14ac:dyDescent="0.25">
      <c r="A22" s="106">
        <v>42780</v>
      </c>
      <c r="B22" s="107">
        <v>7.5</v>
      </c>
      <c r="C22" t="s">
        <v>63</v>
      </c>
      <c r="D22" t="s">
        <v>56</v>
      </c>
      <c r="E22" t="s">
        <v>57</v>
      </c>
    </row>
    <row r="23" spans="1:5" x14ac:dyDescent="0.25">
      <c r="A23" s="106">
        <v>42781</v>
      </c>
      <c r="B23" s="107">
        <v>7.5</v>
      </c>
      <c r="C23" t="s">
        <v>63</v>
      </c>
      <c r="D23" t="s">
        <v>56</v>
      </c>
      <c r="E23" t="s">
        <v>57</v>
      </c>
    </row>
    <row r="24" spans="1:5" x14ac:dyDescent="0.25">
      <c r="A24" s="106">
        <v>42818</v>
      </c>
      <c r="B24" s="107">
        <v>3.75</v>
      </c>
      <c r="C24" t="s">
        <v>59</v>
      </c>
      <c r="D24" t="s">
        <v>56</v>
      </c>
      <c r="E24" t="s">
        <v>18</v>
      </c>
    </row>
    <row r="25" spans="1:5" x14ac:dyDescent="0.25">
      <c r="A25" s="106">
        <v>42870</v>
      </c>
      <c r="B25" s="107">
        <v>7.5</v>
      </c>
      <c r="C25" t="s">
        <v>74</v>
      </c>
      <c r="D25" t="s">
        <v>54</v>
      </c>
      <c r="E25" t="s">
        <v>18</v>
      </c>
    </row>
    <row r="26" spans="1:5" x14ac:dyDescent="0.25">
      <c r="A26" s="106">
        <v>42871</v>
      </c>
      <c r="B26" s="107">
        <v>7.5</v>
      </c>
      <c r="C26" t="s">
        <v>74</v>
      </c>
      <c r="D26" t="s">
        <v>54</v>
      </c>
      <c r="E26" t="s">
        <v>18</v>
      </c>
    </row>
    <row r="27" spans="1:5" x14ac:dyDescent="0.25">
      <c r="A27" s="106">
        <v>42919</v>
      </c>
      <c r="B27" s="107">
        <v>7.5</v>
      </c>
      <c r="C27" t="s">
        <v>75</v>
      </c>
      <c r="D27" t="s">
        <v>55</v>
      </c>
      <c r="E27" t="s">
        <v>18</v>
      </c>
    </row>
    <row r="28" spans="1:5" x14ac:dyDescent="0.25">
      <c r="A28" s="106">
        <v>42920</v>
      </c>
      <c r="B28" s="107">
        <v>7.5</v>
      </c>
      <c r="C28" t="s">
        <v>75</v>
      </c>
      <c r="D28" t="s">
        <v>55</v>
      </c>
      <c r="E28" t="s">
        <v>18</v>
      </c>
    </row>
    <row r="29" spans="1:5" x14ac:dyDescent="0.25">
      <c r="A29" s="106">
        <v>42921</v>
      </c>
      <c r="B29" s="107">
        <v>7.5</v>
      </c>
      <c r="C29" t="s">
        <v>75</v>
      </c>
      <c r="D29" t="s">
        <v>55</v>
      </c>
      <c r="E29" t="s">
        <v>18</v>
      </c>
    </row>
    <row r="30" spans="1:5" x14ac:dyDescent="0.25">
      <c r="A30" s="106">
        <v>42922</v>
      </c>
      <c r="B30" s="107">
        <v>7.5</v>
      </c>
      <c r="C30" t="s">
        <v>75</v>
      </c>
      <c r="D30" t="s">
        <v>55</v>
      </c>
      <c r="E30" t="s">
        <v>18</v>
      </c>
    </row>
    <row r="31" spans="1:5" x14ac:dyDescent="0.25">
      <c r="A31" s="106">
        <v>42923</v>
      </c>
      <c r="B31" s="107">
        <v>7.5</v>
      </c>
      <c r="C31" t="s">
        <v>75</v>
      </c>
      <c r="D31" t="s">
        <v>55</v>
      </c>
      <c r="E31" t="s">
        <v>18</v>
      </c>
    </row>
    <row r="32" spans="1:5" x14ac:dyDescent="0.25">
      <c r="A32" s="106">
        <v>42926</v>
      </c>
      <c r="B32" s="107">
        <v>7.5</v>
      </c>
      <c r="C32" t="s">
        <v>75</v>
      </c>
      <c r="D32" t="s">
        <v>55</v>
      </c>
      <c r="E32" t="s">
        <v>18</v>
      </c>
    </row>
    <row r="33" spans="1:5" x14ac:dyDescent="0.25">
      <c r="A33" s="106">
        <v>42927</v>
      </c>
      <c r="B33" s="107">
        <v>7.5</v>
      </c>
      <c r="C33" t="s">
        <v>75</v>
      </c>
      <c r="D33" t="s">
        <v>55</v>
      </c>
      <c r="E33" t="s">
        <v>18</v>
      </c>
    </row>
    <row r="34" spans="1:5" x14ac:dyDescent="0.25">
      <c r="A34" s="106">
        <v>42928</v>
      </c>
      <c r="B34" s="107">
        <v>7.5</v>
      </c>
      <c r="C34" t="s">
        <v>75</v>
      </c>
      <c r="D34" t="s">
        <v>55</v>
      </c>
      <c r="E34" t="s">
        <v>18</v>
      </c>
    </row>
    <row r="35" spans="1:5" x14ac:dyDescent="0.25">
      <c r="A35" s="106">
        <v>42929</v>
      </c>
      <c r="B35" s="107">
        <v>7.5</v>
      </c>
      <c r="C35" t="s">
        <v>75</v>
      </c>
      <c r="D35" t="s">
        <v>55</v>
      </c>
      <c r="E35" t="s">
        <v>18</v>
      </c>
    </row>
    <row r="36" spans="1:5" x14ac:dyDescent="0.25">
      <c r="A36" s="106">
        <v>42930</v>
      </c>
      <c r="B36" s="107">
        <v>7.5</v>
      </c>
      <c r="C36" t="s">
        <v>75</v>
      </c>
      <c r="D36" t="s">
        <v>55</v>
      </c>
      <c r="E36" t="s">
        <v>18</v>
      </c>
    </row>
    <row r="37" spans="1:5" x14ac:dyDescent="0.25">
      <c r="A37" s="106">
        <v>42986</v>
      </c>
      <c r="B37" s="107">
        <v>7.5</v>
      </c>
      <c r="C37" t="s">
        <v>76</v>
      </c>
      <c r="D37" t="s">
        <v>54</v>
      </c>
      <c r="E37" t="s">
        <v>18</v>
      </c>
    </row>
    <row r="38" spans="1:5" x14ac:dyDescent="0.25">
      <c r="A38" s="106">
        <v>43038</v>
      </c>
      <c r="B38" s="107">
        <v>7.5</v>
      </c>
      <c r="C38" t="s">
        <v>77</v>
      </c>
      <c r="D38" t="s">
        <v>55</v>
      </c>
      <c r="E38" t="s">
        <v>18</v>
      </c>
    </row>
    <row r="39" spans="1:5" x14ac:dyDescent="0.25">
      <c r="A39" s="106">
        <v>43039</v>
      </c>
      <c r="B39" s="107">
        <v>7.5</v>
      </c>
      <c r="C39" t="s">
        <v>77</v>
      </c>
      <c r="D39" t="s">
        <v>55</v>
      </c>
      <c r="E39" t="s">
        <v>18</v>
      </c>
    </row>
    <row r="40" spans="1:5" x14ac:dyDescent="0.25">
      <c r="A40" s="106">
        <v>43040</v>
      </c>
      <c r="B40" s="107">
        <v>7.5</v>
      </c>
      <c r="C40" t="s">
        <v>77</v>
      </c>
      <c r="D40" t="s">
        <v>55</v>
      </c>
      <c r="E40" t="s">
        <v>18</v>
      </c>
    </row>
    <row r="41" spans="1:5" x14ac:dyDescent="0.25">
      <c r="A41" s="106">
        <v>43041</v>
      </c>
      <c r="B41" s="107">
        <v>7.5</v>
      </c>
      <c r="C41" t="s">
        <v>77</v>
      </c>
      <c r="D41" t="s">
        <v>55</v>
      </c>
      <c r="E41" t="s">
        <v>18</v>
      </c>
    </row>
    <row r="42" spans="1:5" x14ac:dyDescent="0.25">
      <c r="A42" s="106">
        <v>43042</v>
      </c>
      <c r="B42" s="107">
        <v>7.5</v>
      </c>
      <c r="C42" t="s">
        <v>77</v>
      </c>
      <c r="D42" t="s">
        <v>55</v>
      </c>
      <c r="E42" t="s">
        <v>18</v>
      </c>
    </row>
    <row r="43" spans="1:5" x14ac:dyDescent="0.25">
      <c r="A43" s="106">
        <v>43096</v>
      </c>
      <c r="B43" s="107">
        <v>7.5</v>
      </c>
      <c r="C43" t="s">
        <v>62</v>
      </c>
      <c r="D43" t="s">
        <v>54</v>
      </c>
      <c r="E43" t="s">
        <v>57</v>
      </c>
    </row>
    <row r="44" spans="1:5" x14ac:dyDescent="0.25">
      <c r="A44" s="106">
        <v>43097</v>
      </c>
      <c r="B44" s="107">
        <v>7.5</v>
      </c>
      <c r="C44" t="s">
        <v>62</v>
      </c>
      <c r="D44" t="s">
        <v>54</v>
      </c>
      <c r="E44" t="s">
        <v>57</v>
      </c>
    </row>
    <row r="45" spans="1:5" x14ac:dyDescent="0.25">
      <c r="A45" s="106">
        <v>43098</v>
      </c>
      <c r="B45" s="107">
        <v>7.5</v>
      </c>
      <c r="C45" t="s">
        <v>62</v>
      </c>
      <c r="D45" t="s">
        <v>54</v>
      </c>
      <c r="E45" t="s">
        <v>57</v>
      </c>
    </row>
    <row r="46" spans="1:5" x14ac:dyDescent="0.25">
      <c r="A46" s="106">
        <v>43102</v>
      </c>
      <c r="B46" s="107">
        <v>7.5</v>
      </c>
      <c r="C46" t="s">
        <v>78</v>
      </c>
      <c r="D46" t="s">
        <v>56</v>
      </c>
      <c r="E46" t="s">
        <v>18</v>
      </c>
    </row>
    <row r="47" spans="1:5" x14ac:dyDescent="0.25">
      <c r="A47" s="106">
        <v>43103</v>
      </c>
      <c r="B47" s="107">
        <v>7.5</v>
      </c>
      <c r="C47" t="s">
        <v>78</v>
      </c>
      <c r="D47" t="s">
        <v>56</v>
      </c>
      <c r="E47" t="s">
        <v>18</v>
      </c>
    </row>
    <row r="48" spans="1:5" x14ac:dyDescent="0.25">
      <c r="A48" s="106">
        <v>43104</v>
      </c>
      <c r="B48" s="107">
        <v>7.5</v>
      </c>
      <c r="C48" t="s">
        <v>78</v>
      </c>
      <c r="D48" t="s">
        <v>56</v>
      </c>
      <c r="E48" t="s">
        <v>18</v>
      </c>
    </row>
    <row r="49" spans="1:5" x14ac:dyDescent="0.25">
      <c r="A49" s="106">
        <v>43105</v>
      </c>
      <c r="B49" s="107">
        <v>7.5</v>
      </c>
      <c r="C49" t="s">
        <v>78</v>
      </c>
      <c r="D49" t="s">
        <v>56</v>
      </c>
      <c r="E49" t="s">
        <v>18</v>
      </c>
    </row>
    <row r="50" spans="1:5" x14ac:dyDescent="0.25">
      <c r="A50" s="106">
        <v>43175</v>
      </c>
      <c r="B50" s="107">
        <v>1.5</v>
      </c>
      <c r="C50" t="s">
        <v>64</v>
      </c>
      <c r="D50" t="s">
        <v>54</v>
      </c>
      <c r="E50" t="s">
        <v>18</v>
      </c>
    </row>
    <row r="51" spans="1:5" x14ac:dyDescent="0.25">
      <c r="A51" s="106">
        <v>43203</v>
      </c>
      <c r="B51" s="107">
        <v>7.5</v>
      </c>
      <c r="C51" t="s">
        <v>60</v>
      </c>
      <c r="D51" t="s">
        <v>54</v>
      </c>
      <c r="E51" t="s">
        <v>57</v>
      </c>
    </row>
    <row r="52" spans="1:5" x14ac:dyDescent="0.25">
      <c r="A52" s="106">
        <v>43271</v>
      </c>
      <c r="B52" s="107">
        <v>7.5</v>
      </c>
      <c r="C52" t="s">
        <v>73</v>
      </c>
      <c r="D52" t="s">
        <v>54</v>
      </c>
      <c r="E52" t="s">
        <v>57</v>
      </c>
    </row>
    <row r="53" spans="1:5" x14ac:dyDescent="0.25">
      <c r="A53" s="106">
        <v>43272</v>
      </c>
      <c r="B53" s="107">
        <v>7.5</v>
      </c>
      <c r="C53" t="s">
        <v>73</v>
      </c>
      <c r="D53" t="s">
        <v>54</v>
      </c>
      <c r="E53" t="s">
        <v>57</v>
      </c>
    </row>
    <row r="54" spans="1:5" x14ac:dyDescent="0.25">
      <c r="A54" s="106">
        <v>43273</v>
      </c>
      <c r="B54" s="107">
        <v>7.5</v>
      </c>
      <c r="C54" t="s">
        <v>73</v>
      </c>
      <c r="D54" t="s">
        <v>54</v>
      </c>
      <c r="E54" t="s">
        <v>57</v>
      </c>
    </row>
    <row r="55" spans="1:5" x14ac:dyDescent="0.25">
      <c r="A55" s="106">
        <v>43318</v>
      </c>
      <c r="B55" s="107">
        <v>7.5</v>
      </c>
      <c r="C55" t="s">
        <v>75</v>
      </c>
      <c r="D55" t="s">
        <v>54</v>
      </c>
      <c r="E55" t="s">
        <v>18</v>
      </c>
    </row>
    <row r="56" spans="1:5" x14ac:dyDescent="0.25">
      <c r="A56" s="106">
        <v>43319</v>
      </c>
      <c r="B56" s="107">
        <v>7.5</v>
      </c>
      <c r="C56" t="s">
        <v>75</v>
      </c>
      <c r="D56" t="s">
        <v>54</v>
      </c>
      <c r="E56" t="s">
        <v>18</v>
      </c>
    </row>
    <row r="57" spans="1:5" x14ac:dyDescent="0.25">
      <c r="A57" s="106">
        <v>43320</v>
      </c>
      <c r="B57" s="107">
        <v>7.5</v>
      </c>
      <c r="C57" t="s">
        <v>75</v>
      </c>
      <c r="D57" t="s">
        <v>54</v>
      </c>
      <c r="E57" t="s">
        <v>18</v>
      </c>
    </row>
    <row r="58" spans="1:5" x14ac:dyDescent="0.25">
      <c r="A58" s="106">
        <v>43321</v>
      </c>
      <c r="B58" s="107">
        <v>7.5</v>
      </c>
      <c r="C58" t="s">
        <v>75</v>
      </c>
      <c r="D58" t="s">
        <v>54</v>
      </c>
      <c r="E58" t="s">
        <v>18</v>
      </c>
    </row>
    <row r="59" spans="1:5" x14ac:dyDescent="0.25">
      <c r="A59" s="106">
        <v>43322</v>
      </c>
      <c r="B59" s="107">
        <v>7.5</v>
      </c>
      <c r="C59" t="s">
        <v>75</v>
      </c>
      <c r="D59" t="s">
        <v>54</v>
      </c>
      <c r="E59" t="s">
        <v>18</v>
      </c>
    </row>
    <row r="60" spans="1:5" x14ac:dyDescent="0.25">
      <c r="A60" s="106">
        <v>43332</v>
      </c>
      <c r="B60" s="107">
        <v>7.5</v>
      </c>
      <c r="C60" t="s">
        <v>75</v>
      </c>
      <c r="D60" t="s">
        <v>54</v>
      </c>
      <c r="E60" t="s">
        <v>18</v>
      </c>
    </row>
    <row r="61" spans="1:5" x14ac:dyDescent="0.25">
      <c r="A61" s="106">
        <v>43333</v>
      </c>
      <c r="B61" s="107">
        <v>7.5</v>
      </c>
      <c r="C61" t="s">
        <v>75</v>
      </c>
      <c r="D61" t="s">
        <v>54</v>
      </c>
      <c r="E61" t="s">
        <v>18</v>
      </c>
    </row>
    <row r="62" spans="1:5" x14ac:dyDescent="0.25">
      <c r="A62" s="106">
        <v>43334</v>
      </c>
      <c r="B62" s="107">
        <v>7.5</v>
      </c>
      <c r="C62" t="s">
        <v>75</v>
      </c>
      <c r="D62" t="s">
        <v>54</v>
      </c>
      <c r="E62" t="s">
        <v>18</v>
      </c>
    </row>
    <row r="63" spans="1:5" x14ac:dyDescent="0.25">
      <c r="A63" s="106">
        <v>43335</v>
      </c>
      <c r="B63" s="107">
        <v>7.5</v>
      </c>
      <c r="C63" t="s">
        <v>75</v>
      </c>
      <c r="D63" t="s">
        <v>54</v>
      </c>
      <c r="E63" t="s">
        <v>18</v>
      </c>
    </row>
    <row r="64" spans="1:5" x14ac:dyDescent="0.25">
      <c r="A64" s="106">
        <v>43336</v>
      </c>
      <c r="B64" s="107">
        <v>7.5</v>
      </c>
      <c r="C64" t="s">
        <v>75</v>
      </c>
      <c r="D64" t="s">
        <v>54</v>
      </c>
      <c r="E64" t="s">
        <v>18</v>
      </c>
    </row>
    <row r="65" spans="1:5" x14ac:dyDescent="0.25">
      <c r="A65" s="106">
        <v>43404</v>
      </c>
      <c r="B65" s="107">
        <v>3.75</v>
      </c>
      <c r="C65" t="s">
        <v>59</v>
      </c>
      <c r="D65" t="s">
        <v>54</v>
      </c>
      <c r="E65" t="s">
        <v>18</v>
      </c>
    </row>
    <row r="66" spans="1:5" x14ac:dyDescent="0.25">
      <c r="A66" s="106">
        <v>43458</v>
      </c>
      <c r="B66" s="107">
        <v>7.5</v>
      </c>
      <c r="C66" t="s">
        <v>62</v>
      </c>
      <c r="D66" t="s">
        <v>54</v>
      </c>
      <c r="E66" t="s">
        <v>18</v>
      </c>
    </row>
    <row r="67" spans="1:5" x14ac:dyDescent="0.25">
      <c r="A67" s="106">
        <v>43461</v>
      </c>
      <c r="B67" s="107">
        <v>7.5</v>
      </c>
      <c r="C67" t="s">
        <v>62</v>
      </c>
      <c r="D67" t="s">
        <v>54</v>
      </c>
      <c r="E67" t="s">
        <v>18</v>
      </c>
    </row>
    <row r="68" spans="1:5" x14ac:dyDescent="0.25">
      <c r="A68" s="106">
        <v>43462</v>
      </c>
      <c r="B68" s="107">
        <v>7.5</v>
      </c>
      <c r="C68" t="s">
        <v>62</v>
      </c>
      <c r="D68" t="s">
        <v>54</v>
      </c>
      <c r="E68" t="s">
        <v>18</v>
      </c>
    </row>
    <row r="69" spans="1:5" x14ac:dyDescent="0.25">
      <c r="A69" s="106">
        <v>43500</v>
      </c>
      <c r="B69" s="107">
        <v>7.5</v>
      </c>
      <c r="C69" t="s">
        <v>79</v>
      </c>
      <c r="D69" t="s">
        <v>55</v>
      </c>
      <c r="E69" t="s">
        <v>18</v>
      </c>
    </row>
    <row r="70" spans="1:5" x14ac:dyDescent="0.25">
      <c r="A70" s="106">
        <v>43501</v>
      </c>
      <c r="B70" s="107">
        <v>7.5</v>
      </c>
      <c r="C70" t="s">
        <v>79</v>
      </c>
      <c r="D70" t="s">
        <v>55</v>
      </c>
      <c r="E70" t="s">
        <v>18</v>
      </c>
    </row>
    <row r="71" spans="1:5" x14ac:dyDescent="0.25">
      <c r="A71" s="106">
        <v>43502</v>
      </c>
      <c r="B71" s="107">
        <v>7.5</v>
      </c>
      <c r="C71" t="s">
        <v>79</v>
      </c>
      <c r="D71" t="s">
        <v>55</v>
      </c>
      <c r="E71" t="s">
        <v>18</v>
      </c>
    </row>
    <row r="72" spans="1:5" x14ac:dyDescent="0.25">
      <c r="A72" s="106">
        <v>43503</v>
      </c>
      <c r="B72" s="107">
        <v>7.5</v>
      </c>
      <c r="C72" t="s">
        <v>79</v>
      </c>
      <c r="D72" t="s">
        <v>55</v>
      </c>
      <c r="E72" t="s">
        <v>18</v>
      </c>
    </row>
    <row r="73" spans="1:5" x14ac:dyDescent="0.25">
      <c r="A73" s="106">
        <v>43504</v>
      </c>
      <c r="B73" s="107">
        <v>7.5</v>
      </c>
      <c r="C73" t="s">
        <v>79</v>
      </c>
      <c r="D73" t="s">
        <v>55</v>
      </c>
      <c r="E73" t="s">
        <v>18</v>
      </c>
    </row>
    <row r="74" spans="1:5" x14ac:dyDescent="0.25">
      <c r="A74" s="106">
        <v>43545</v>
      </c>
      <c r="B74" s="107">
        <v>7.5</v>
      </c>
      <c r="C74" t="s">
        <v>60</v>
      </c>
      <c r="D74" t="s">
        <v>55</v>
      </c>
      <c r="E74" t="s">
        <v>18</v>
      </c>
    </row>
    <row r="75" spans="1:5" x14ac:dyDescent="0.25">
      <c r="A75" s="106">
        <v>43546</v>
      </c>
      <c r="B75" s="107">
        <v>7.5</v>
      </c>
      <c r="C75" t="s">
        <v>60</v>
      </c>
      <c r="D75" t="s">
        <v>55</v>
      </c>
      <c r="E75" t="s">
        <v>18</v>
      </c>
    </row>
    <row r="76" spans="1:5" x14ac:dyDescent="0.25">
      <c r="A76" s="106">
        <v>43588</v>
      </c>
      <c r="B76" s="107">
        <v>7.5</v>
      </c>
      <c r="C76" t="s">
        <v>76</v>
      </c>
      <c r="D76" t="s">
        <v>55</v>
      </c>
      <c r="E76" t="s">
        <v>57</v>
      </c>
    </row>
    <row r="77" spans="1:5" x14ac:dyDescent="0.25">
      <c r="A77" s="106">
        <v>43633</v>
      </c>
      <c r="B77" s="107">
        <v>7.5</v>
      </c>
      <c r="C77" t="s">
        <v>71</v>
      </c>
      <c r="D77" t="s">
        <v>54</v>
      </c>
      <c r="E77" t="s">
        <v>18</v>
      </c>
    </row>
    <row r="78" spans="1:5" x14ac:dyDescent="0.25">
      <c r="A78" s="106">
        <v>43634</v>
      </c>
      <c r="B78" s="107">
        <v>7.5</v>
      </c>
      <c r="C78" t="s">
        <v>71</v>
      </c>
      <c r="D78" t="s">
        <v>54</v>
      </c>
      <c r="E78" t="s">
        <v>18</v>
      </c>
    </row>
    <row r="79" spans="1:5" x14ac:dyDescent="0.25">
      <c r="A79" s="106">
        <v>43635</v>
      </c>
      <c r="B79" s="107">
        <v>7.5</v>
      </c>
      <c r="C79" t="s">
        <v>71</v>
      </c>
      <c r="D79" t="s">
        <v>54</v>
      </c>
      <c r="E79" t="s">
        <v>18</v>
      </c>
    </row>
    <row r="80" spans="1:5" x14ac:dyDescent="0.25">
      <c r="A80" s="106">
        <v>43636</v>
      </c>
      <c r="B80" s="107">
        <v>7.5</v>
      </c>
      <c r="C80" t="s">
        <v>71</v>
      </c>
      <c r="D80" t="s">
        <v>54</v>
      </c>
      <c r="E80" t="s">
        <v>18</v>
      </c>
    </row>
    <row r="81" spans="1:5" x14ac:dyDescent="0.25">
      <c r="A81" s="106">
        <v>43637</v>
      </c>
      <c r="B81" s="107">
        <v>7.5</v>
      </c>
      <c r="C81" t="s">
        <v>71</v>
      </c>
      <c r="D81" t="s">
        <v>54</v>
      </c>
      <c r="E81" t="s">
        <v>18</v>
      </c>
    </row>
    <row r="82" spans="1:5" x14ac:dyDescent="0.25">
      <c r="A82" s="106">
        <v>43675</v>
      </c>
      <c r="B82" s="107">
        <v>7.5</v>
      </c>
      <c r="C82" t="s">
        <v>75</v>
      </c>
      <c r="D82" t="s">
        <v>54</v>
      </c>
      <c r="E82" t="s">
        <v>18</v>
      </c>
    </row>
    <row r="83" spans="1:5" x14ac:dyDescent="0.25">
      <c r="A83" s="106">
        <v>43676</v>
      </c>
      <c r="B83" s="107">
        <v>7.5</v>
      </c>
      <c r="C83" t="s">
        <v>75</v>
      </c>
      <c r="D83" t="s">
        <v>54</v>
      </c>
      <c r="E83" t="s">
        <v>18</v>
      </c>
    </row>
    <row r="84" spans="1:5" x14ac:dyDescent="0.25">
      <c r="A84" s="106">
        <v>43677</v>
      </c>
      <c r="B84" s="107">
        <v>7.5</v>
      </c>
      <c r="C84" t="s">
        <v>75</v>
      </c>
      <c r="D84" t="s">
        <v>54</v>
      </c>
      <c r="E84" t="s">
        <v>18</v>
      </c>
    </row>
    <row r="85" spans="1:5" x14ac:dyDescent="0.25">
      <c r="A85" s="106">
        <v>43678</v>
      </c>
      <c r="B85" s="107">
        <v>7.5</v>
      </c>
      <c r="C85" t="s">
        <v>75</v>
      </c>
      <c r="D85" t="s">
        <v>54</v>
      </c>
      <c r="E85" t="s">
        <v>18</v>
      </c>
    </row>
    <row r="86" spans="1:5" x14ac:dyDescent="0.25">
      <c r="A86" s="106">
        <v>43679</v>
      </c>
      <c r="B86" s="107">
        <v>7.5</v>
      </c>
      <c r="C86" t="s">
        <v>75</v>
      </c>
      <c r="D86" t="s">
        <v>54</v>
      </c>
      <c r="E86" t="s">
        <v>18</v>
      </c>
    </row>
    <row r="87" spans="1:5" x14ac:dyDescent="0.25">
      <c r="A87" s="106">
        <v>43682</v>
      </c>
      <c r="B87" s="107">
        <v>7.5</v>
      </c>
      <c r="C87" t="s">
        <v>75</v>
      </c>
      <c r="D87" t="s">
        <v>54</v>
      </c>
      <c r="E87" t="s">
        <v>18</v>
      </c>
    </row>
    <row r="88" spans="1:5" x14ac:dyDescent="0.25">
      <c r="A88" s="106">
        <v>43683</v>
      </c>
      <c r="B88" s="107">
        <v>7.5</v>
      </c>
      <c r="C88" t="s">
        <v>75</v>
      </c>
      <c r="D88" t="s">
        <v>54</v>
      </c>
      <c r="E88" t="s">
        <v>18</v>
      </c>
    </row>
    <row r="89" spans="1:5" x14ac:dyDescent="0.25">
      <c r="A89" s="106">
        <v>43684</v>
      </c>
      <c r="B89" s="107">
        <v>7.5</v>
      </c>
      <c r="C89" t="s">
        <v>75</v>
      </c>
      <c r="D89" t="s">
        <v>54</v>
      </c>
      <c r="E89" t="s">
        <v>18</v>
      </c>
    </row>
    <row r="90" spans="1:5" x14ac:dyDescent="0.25">
      <c r="A90" s="106">
        <v>43685</v>
      </c>
      <c r="B90" s="107">
        <v>7.5</v>
      </c>
      <c r="C90" t="s">
        <v>75</v>
      </c>
      <c r="D90" t="s">
        <v>54</v>
      </c>
      <c r="E90" t="s">
        <v>18</v>
      </c>
    </row>
    <row r="91" spans="1:5" x14ac:dyDescent="0.25">
      <c r="A91" s="106">
        <v>43686</v>
      </c>
      <c r="B91" s="107">
        <v>7.5</v>
      </c>
      <c r="C91" t="s">
        <v>75</v>
      </c>
      <c r="D91" t="s">
        <v>54</v>
      </c>
      <c r="E91" t="s">
        <v>18</v>
      </c>
    </row>
    <row r="92" spans="1:5" x14ac:dyDescent="0.25">
      <c r="A92" s="106">
        <v>43735</v>
      </c>
      <c r="B92" s="107">
        <v>7.5</v>
      </c>
      <c r="C92" t="s">
        <v>60</v>
      </c>
      <c r="D92" t="s">
        <v>54</v>
      </c>
      <c r="E92" t="s">
        <v>18</v>
      </c>
    </row>
    <row r="93" spans="1:5" x14ac:dyDescent="0.25">
      <c r="A93" s="106">
        <v>43770</v>
      </c>
      <c r="B93" s="107">
        <v>7.5</v>
      </c>
      <c r="C93" t="s">
        <v>61</v>
      </c>
      <c r="D93" t="s">
        <v>55</v>
      </c>
      <c r="E93" t="s">
        <v>18</v>
      </c>
    </row>
    <row r="94" spans="1:5" x14ac:dyDescent="0.25">
      <c r="A94" s="106">
        <v>43819</v>
      </c>
      <c r="B94" s="107">
        <v>7.5</v>
      </c>
      <c r="C94" t="s">
        <v>62</v>
      </c>
      <c r="D94" t="s">
        <v>55</v>
      </c>
      <c r="E94" t="s">
        <v>18</v>
      </c>
    </row>
    <row r="95" spans="1:5" x14ac:dyDescent="0.25">
      <c r="A95" s="106">
        <v>43822</v>
      </c>
      <c r="B95" s="107">
        <v>7.5</v>
      </c>
      <c r="C95" t="s">
        <v>62</v>
      </c>
      <c r="D95" t="s">
        <v>55</v>
      </c>
      <c r="E95" t="s">
        <v>18</v>
      </c>
    </row>
    <row r="96" spans="1:5" x14ac:dyDescent="0.25">
      <c r="A96" s="106">
        <v>43823</v>
      </c>
      <c r="B96" s="107">
        <v>7.5</v>
      </c>
      <c r="C96" t="s">
        <v>62</v>
      </c>
      <c r="D96" t="s">
        <v>55</v>
      </c>
      <c r="E96" t="s">
        <v>18</v>
      </c>
    </row>
    <row r="97" spans="1:5" x14ac:dyDescent="0.25">
      <c r="A97" s="106">
        <v>43861</v>
      </c>
      <c r="B97" s="107">
        <v>3.75</v>
      </c>
      <c r="C97" t="s">
        <v>59</v>
      </c>
      <c r="D97" t="s">
        <v>54</v>
      </c>
      <c r="E97" t="s">
        <v>18</v>
      </c>
    </row>
    <row r="98" spans="1:5" x14ac:dyDescent="0.25">
      <c r="A98" s="106">
        <v>43892</v>
      </c>
      <c r="B98" s="107">
        <v>7.5</v>
      </c>
      <c r="C98" t="s">
        <v>74</v>
      </c>
      <c r="D98" t="s">
        <v>54</v>
      </c>
      <c r="E98" t="s">
        <v>18</v>
      </c>
    </row>
    <row r="99" spans="1:5" x14ac:dyDescent="0.25">
      <c r="A99" s="106">
        <v>43893</v>
      </c>
      <c r="B99" s="107">
        <v>7.5</v>
      </c>
      <c r="C99" t="s">
        <v>74</v>
      </c>
      <c r="D99" t="s">
        <v>54</v>
      </c>
      <c r="E99" t="s">
        <v>18</v>
      </c>
    </row>
    <row r="100" spans="1:5" x14ac:dyDescent="0.25">
      <c r="A100" s="106">
        <v>43894</v>
      </c>
      <c r="B100" s="107">
        <v>7.5</v>
      </c>
      <c r="C100" t="s">
        <v>74</v>
      </c>
      <c r="D100" t="s">
        <v>54</v>
      </c>
      <c r="E100" t="s">
        <v>18</v>
      </c>
    </row>
    <row r="101" spans="1:5" x14ac:dyDescent="0.25">
      <c r="A101" s="106">
        <v>43895</v>
      </c>
      <c r="B101" s="107">
        <v>7.5</v>
      </c>
      <c r="C101" t="s">
        <v>74</v>
      </c>
      <c r="D101" t="s">
        <v>54</v>
      </c>
      <c r="E101" t="s">
        <v>18</v>
      </c>
    </row>
    <row r="102" spans="1:5" x14ac:dyDescent="0.25">
      <c r="A102" s="106">
        <v>43896</v>
      </c>
      <c r="B102" s="107">
        <v>7.5</v>
      </c>
      <c r="C102" t="s">
        <v>74</v>
      </c>
      <c r="D102" t="s">
        <v>54</v>
      </c>
      <c r="E102" t="s">
        <v>18</v>
      </c>
    </row>
    <row r="103" spans="1:5" x14ac:dyDescent="0.25">
      <c r="A103" s="106">
        <v>43938</v>
      </c>
      <c r="B103" s="107">
        <v>7.5</v>
      </c>
      <c r="C103" t="s">
        <v>76</v>
      </c>
      <c r="D103" t="s">
        <v>56</v>
      </c>
      <c r="E103" t="s">
        <v>18</v>
      </c>
    </row>
    <row r="104" spans="1:5" x14ac:dyDescent="0.25">
      <c r="A104" s="106">
        <v>43994</v>
      </c>
      <c r="B104" s="107">
        <v>3.75</v>
      </c>
      <c r="C104" t="s">
        <v>59</v>
      </c>
      <c r="D104" t="s">
        <v>54</v>
      </c>
      <c r="E104" t="s">
        <v>18</v>
      </c>
    </row>
    <row r="105" spans="1:5" x14ac:dyDescent="0.25">
      <c r="A105" s="106">
        <v>44050</v>
      </c>
      <c r="B105" s="107">
        <v>7.5</v>
      </c>
      <c r="C105" t="s">
        <v>60</v>
      </c>
      <c r="D105" t="s">
        <v>56</v>
      </c>
      <c r="E105" t="s">
        <v>57</v>
      </c>
    </row>
    <row r="106" spans="1:5" x14ac:dyDescent="0.25">
      <c r="A106" s="106">
        <v>44095</v>
      </c>
      <c r="B106" s="107">
        <v>7.5</v>
      </c>
      <c r="C106" t="s">
        <v>77</v>
      </c>
      <c r="D106" t="s">
        <v>56</v>
      </c>
      <c r="E106" t="s">
        <v>18</v>
      </c>
    </row>
    <row r="107" spans="1:5" x14ac:dyDescent="0.25">
      <c r="A107" s="106">
        <v>44096</v>
      </c>
      <c r="B107" s="107">
        <v>7.5</v>
      </c>
      <c r="C107" t="s">
        <v>77</v>
      </c>
      <c r="D107" t="s">
        <v>56</v>
      </c>
      <c r="E107" t="s">
        <v>18</v>
      </c>
    </row>
    <row r="108" spans="1:5" x14ac:dyDescent="0.25">
      <c r="A108" s="106">
        <v>44097</v>
      </c>
      <c r="B108" s="107">
        <v>7.5</v>
      </c>
      <c r="C108" t="s">
        <v>77</v>
      </c>
      <c r="D108" t="s">
        <v>56</v>
      </c>
      <c r="E108" t="s">
        <v>18</v>
      </c>
    </row>
    <row r="109" spans="1:5" x14ac:dyDescent="0.25">
      <c r="A109" s="106">
        <v>44098</v>
      </c>
      <c r="B109" s="107">
        <v>7.5</v>
      </c>
      <c r="C109" t="s">
        <v>77</v>
      </c>
      <c r="D109" t="s">
        <v>56</v>
      </c>
      <c r="E109" t="s">
        <v>18</v>
      </c>
    </row>
    <row r="110" spans="1:5" x14ac:dyDescent="0.25">
      <c r="A110" s="106">
        <v>44099</v>
      </c>
      <c r="B110" s="107">
        <v>7.5</v>
      </c>
      <c r="C110" t="s">
        <v>77</v>
      </c>
      <c r="D110" t="s">
        <v>56</v>
      </c>
      <c r="E110" t="s">
        <v>18</v>
      </c>
    </row>
    <row r="111" spans="1:5" x14ac:dyDescent="0.25">
      <c r="A111" s="106">
        <v>44186</v>
      </c>
      <c r="B111" s="107">
        <v>7.5</v>
      </c>
      <c r="C111" t="s">
        <v>62</v>
      </c>
      <c r="D111" t="s">
        <v>54</v>
      </c>
      <c r="E111" t="s">
        <v>57</v>
      </c>
    </row>
    <row r="112" spans="1:5" x14ac:dyDescent="0.25">
      <c r="A112" s="106">
        <v>44187</v>
      </c>
      <c r="B112" s="107">
        <v>7.5</v>
      </c>
      <c r="C112" t="s">
        <v>62</v>
      </c>
      <c r="D112" t="s">
        <v>54</v>
      </c>
      <c r="E112" t="s">
        <v>57</v>
      </c>
    </row>
    <row r="113" spans="1:5" x14ac:dyDescent="0.25">
      <c r="A113" s="106">
        <v>44188</v>
      </c>
      <c r="B113" s="107">
        <v>7.5</v>
      </c>
      <c r="C113" t="s">
        <v>62</v>
      </c>
      <c r="D113" t="s">
        <v>54</v>
      </c>
      <c r="E113" t="s">
        <v>57</v>
      </c>
    </row>
    <row r="114" spans="1:5" x14ac:dyDescent="0.25">
      <c r="A114" s="106">
        <v>44246</v>
      </c>
      <c r="B114" s="107">
        <v>7.5</v>
      </c>
      <c r="C114" t="s">
        <v>76</v>
      </c>
      <c r="D114" t="s">
        <v>54</v>
      </c>
      <c r="E114" t="s">
        <v>57</v>
      </c>
    </row>
    <row r="115" spans="1:5" x14ac:dyDescent="0.25">
      <c r="A115" s="106">
        <v>44284</v>
      </c>
      <c r="B115" s="107">
        <v>7.5</v>
      </c>
      <c r="C115" t="s">
        <v>58</v>
      </c>
      <c r="D115" t="s">
        <v>55</v>
      </c>
      <c r="E115" t="s">
        <v>18</v>
      </c>
    </row>
    <row r="116" spans="1:5" x14ac:dyDescent="0.25">
      <c r="A116" s="106">
        <v>44285</v>
      </c>
      <c r="B116" s="107">
        <v>7.5</v>
      </c>
      <c r="C116" t="s">
        <v>58</v>
      </c>
      <c r="D116" t="s">
        <v>55</v>
      </c>
      <c r="E116" t="s">
        <v>18</v>
      </c>
    </row>
    <row r="117" spans="1:5" x14ac:dyDescent="0.25">
      <c r="A117" s="106">
        <v>44286</v>
      </c>
      <c r="B117" s="107">
        <v>7.5</v>
      </c>
      <c r="C117" t="s">
        <v>58</v>
      </c>
      <c r="D117" t="s">
        <v>55</v>
      </c>
      <c r="E117" t="s">
        <v>18</v>
      </c>
    </row>
    <row r="118" spans="1:5" x14ac:dyDescent="0.25">
      <c r="A118" s="106">
        <v>44287</v>
      </c>
      <c r="B118" s="107">
        <v>1.5</v>
      </c>
      <c r="C118" t="s">
        <v>64</v>
      </c>
      <c r="D118" t="s">
        <v>56</v>
      </c>
      <c r="E118" t="s">
        <v>18</v>
      </c>
    </row>
    <row r="119" spans="1:5" x14ac:dyDescent="0.25">
      <c r="A119" s="106">
        <v>44309</v>
      </c>
      <c r="B119" s="107">
        <v>7.5</v>
      </c>
      <c r="C119" t="s">
        <v>60</v>
      </c>
      <c r="D119" t="s">
        <v>55</v>
      </c>
      <c r="E119" t="s">
        <v>18</v>
      </c>
    </row>
    <row r="120" spans="1:5" x14ac:dyDescent="0.25">
      <c r="A120" s="106">
        <v>44330</v>
      </c>
      <c r="B120" s="107">
        <v>7.5</v>
      </c>
      <c r="C120" t="s">
        <v>76</v>
      </c>
      <c r="D120" t="s">
        <v>55</v>
      </c>
      <c r="E120" t="s">
        <v>18</v>
      </c>
    </row>
    <row r="121" spans="1:5" x14ac:dyDescent="0.25">
      <c r="A121" s="106">
        <v>44375</v>
      </c>
      <c r="B121" s="107">
        <v>7.5</v>
      </c>
      <c r="C121" t="s">
        <v>71</v>
      </c>
      <c r="D121" t="s">
        <v>55</v>
      </c>
      <c r="E121" t="s">
        <v>18</v>
      </c>
    </row>
    <row r="122" spans="1:5" x14ac:dyDescent="0.25">
      <c r="A122" s="106">
        <v>44376</v>
      </c>
      <c r="B122" s="107">
        <v>7.5</v>
      </c>
      <c r="C122" t="s">
        <v>71</v>
      </c>
      <c r="D122" t="s">
        <v>55</v>
      </c>
      <c r="E122" t="s">
        <v>18</v>
      </c>
    </row>
    <row r="123" spans="1:5" x14ac:dyDescent="0.25">
      <c r="A123" s="106">
        <v>44377</v>
      </c>
      <c r="B123" s="107">
        <v>7.5</v>
      </c>
      <c r="C123" t="s">
        <v>71</v>
      </c>
      <c r="D123" t="s">
        <v>55</v>
      </c>
      <c r="E123" t="s">
        <v>18</v>
      </c>
    </row>
    <row r="124" spans="1:5" x14ac:dyDescent="0.25">
      <c r="A124" s="106">
        <v>44378</v>
      </c>
      <c r="B124" s="107">
        <v>7.5</v>
      </c>
      <c r="C124" t="s">
        <v>71</v>
      </c>
      <c r="D124" t="s">
        <v>55</v>
      </c>
      <c r="E124" t="s">
        <v>18</v>
      </c>
    </row>
    <row r="125" spans="1:5" x14ac:dyDescent="0.25">
      <c r="A125" s="106">
        <v>44379</v>
      </c>
      <c r="B125" s="107">
        <v>7.5</v>
      </c>
      <c r="C125" t="s">
        <v>71</v>
      </c>
      <c r="D125" t="s">
        <v>55</v>
      </c>
      <c r="E125" t="s">
        <v>18</v>
      </c>
    </row>
    <row r="126" spans="1:5" x14ac:dyDescent="0.25">
      <c r="A126" s="106">
        <v>44424</v>
      </c>
      <c r="B126" s="107">
        <v>7.5</v>
      </c>
      <c r="C126" t="s">
        <v>75</v>
      </c>
      <c r="D126" t="s">
        <v>54</v>
      </c>
      <c r="E126" t="s">
        <v>18</v>
      </c>
    </row>
    <row r="127" spans="1:5" x14ac:dyDescent="0.25">
      <c r="A127" s="106">
        <v>44425</v>
      </c>
      <c r="B127" s="107">
        <v>7.5</v>
      </c>
      <c r="C127" t="s">
        <v>75</v>
      </c>
      <c r="D127" t="s">
        <v>54</v>
      </c>
      <c r="E127" t="s">
        <v>18</v>
      </c>
    </row>
    <row r="128" spans="1:5" x14ac:dyDescent="0.25">
      <c r="A128" s="106">
        <v>44426</v>
      </c>
      <c r="B128" s="107">
        <v>7.5</v>
      </c>
      <c r="C128" t="s">
        <v>75</v>
      </c>
      <c r="D128" t="s">
        <v>54</v>
      </c>
      <c r="E128" t="s">
        <v>18</v>
      </c>
    </row>
    <row r="129" spans="1:5" x14ac:dyDescent="0.25">
      <c r="A129" s="106">
        <v>44427</v>
      </c>
      <c r="B129" s="107">
        <v>7.5</v>
      </c>
      <c r="C129" t="s">
        <v>75</v>
      </c>
      <c r="D129" t="s">
        <v>54</v>
      </c>
      <c r="E129" t="s">
        <v>18</v>
      </c>
    </row>
    <row r="130" spans="1:5" x14ac:dyDescent="0.25">
      <c r="A130" s="106">
        <v>44428</v>
      </c>
      <c r="B130" s="107">
        <v>7.5</v>
      </c>
      <c r="C130" t="s">
        <v>75</v>
      </c>
      <c r="D130" t="s">
        <v>54</v>
      </c>
      <c r="E130" t="s">
        <v>18</v>
      </c>
    </row>
    <row r="131" spans="1:5" x14ac:dyDescent="0.25">
      <c r="A131" s="106">
        <v>44494</v>
      </c>
      <c r="B131" s="107">
        <v>7.5</v>
      </c>
      <c r="C131" t="s">
        <v>77</v>
      </c>
      <c r="D131" t="s">
        <v>54</v>
      </c>
      <c r="E131" t="s">
        <v>57</v>
      </c>
    </row>
    <row r="132" spans="1:5" x14ac:dyDescent="0.25">
      <c r="A132" s="106">
        <v>44495</v>
      </c>
      <c r="B132" s="107">
        <v>7.5</v>
      </c>
      <c r="C132" t="s">
        <v>77</v>
      </c>
      <c r="D132" t="s">
        <v>54</v>
      </c>
      <c r="E132" t="s">
        <v>57</v>
      </c>
    </row>
    <row r="133" spans="1:5" x14ac:dyDescent="0.25">
      <c r="A133" s="106">
        <v>44496</v>
      </c>
      <c r="B133" s="107">
        <v>7.5</v>
      </c>
      <c r="C133" t="s">
        <v>77</v>
      </c>
      <c r="D133" t="s">
        <v>54</v>
      </c>
      <c r="E133" t="s">
        <v>57</v>
      </c>
    </row>
    <row r="134" spans="1:5" x14ac:dyDescent="0.25">
      <c r="A134" s="106">
        <v>44497</v>
      </c>
      <c r="B134" s="107">
        <v>7.5</v>
      </c>
      <c r="C134" t="s">
        <v>77</v>
      </c>
      <c r="D134" t="s">
        <v>54</v>
      </c>
      <c r="E134" t="s">
        <v>57</v>
      </c>
    </row>
    <row r="135" spans="1:5" x14ac:dyDescent="0.25">
      <c r="A135" s="106">
        <v>44498</v>
      </c>
      <c r="B135" s="107">
        <v>7.5</v>
      </c>
      <c r="C135" t="s">
        <v>77</v>
      </c>
      <c r="D135" t="s">
        <v>54</v>
      </c>
      <c r="E135" t="s">
        <v>57</v>
      </c>
    </row>
    <row r="136" spans="1:5" x14ac:dyDescent="0.25">
      <c r="A136" s="106">
        <v>44550</v>
      </c>
      <c r="B136" s="107">
        <v>7.5</v>
      </c>
      <c r="C136" t="s">
        <v>62</v>
      </c>
      <c r="D136" t="s">
        <v>54</v>
      </c>
      <c r="E136" t="s">
        <v>57</v>
      </c>
    </row>
    <row r="137" spans="1:5" x14ac:dyDescent="0.25">
      <c r="A137" s="106">
        <v>44551</v>
      </c>
      <c r="B137" s="107">
        <v>7.5</v>
      </c>
      <c r="C137" t="s">
        <v>62</v>
      </c>
      <c r="D137" t="s">
        <v>54</v>
      </c>
      <c r="E137" t="s">
        <v>57</v>
      </c>
    </row>
    <row r="138" spans="1:5" x14ac:dyDescent="0.25">
      <c r="A138" s="106">
        <v>44552</v>
      </c>
      <c r="B138" s="107">
        <v>7.5</v>
      </c>
      <c r="C138" t="s">
        <v>62</v>
      </c>
      <c r="D138" t="s">
        <v>54</v>
      </c>
      <c r="E138" t="s">
        <v>57</v>
      </c>
    </row>
    <row r="139" spans="1:5" x14ac:dyDescent="0.25">
      <c r="A139" s="106">
        <v>44553</v>
      </c>
      <c r="B139" s="107">
        <v>7.5</v>
      </c>
      <c r="C139" t="s">
        <v>62</v>
      </c>
      <c r="D139" t="s">
        <v>54</v>
      </c>
      <c r="E139" t="s">
        <v>57</v>
      </c>
    </row>
    <row r="140" spans="1:5" x14ac:dyDescent="0.25">
      <c r="A140" s="106">
        <v>44554</v>
      </c>
      <c r="B140" s="107">
        <v>7.5</v>
      </c>
      <c r="C140" t="s">
        <v>62</v>
      </c>
      <c r="D140" t="s">
        <v>54</v>
      </c>
      <c r="E140" t="s">
        <v>57</v>
      </c>
    </row>
    <row r="141" spans="1:5" x14ac:dyDescent="0.25">
      <c r="A141" s="106">
        <v>44599</v>
      </c>
      <c r="B141" s="107">
        <v>7.5</v>
      </c>
      <c r="C141" t="s">
        <v>79</v>
      </c>
      <c r="D141" t="s">
        <v>56</v>
      </c>
      <c r="E141" t="s">
        <v>18</v>
      </c>
    </row>
    <row r="142" spans="1:5" x14ac:dyDescent="0.25">
      <c r="A142" s="106">
        <v>44600</v>
      </c>
      <c r="B142" s="107">
        <v>7.5</v>
      </c>
      <c r="C142" t="s">
        <v>79</v>
      </c>
      <c r="D142" t="s">
        <v>56</v>
      </c>
      <c r="E142" t="s">
        <v>18</v>
      </c>
    </row>
    <row r="143" spans="1:5" x14ac:dyDescent="0.25">
      <c r="A143" s="106">
        <v>44601</v>
      </c>
      <c r="B143" s="107">
        <v>7.5</v>
      </c>
      <c r="C143" t="s">
        <v>79</v>
      </c>
      <c r="D143" t="s">
        <v>56</v>
      </c>
      <c r="E143" t="s">
        <v>18</v>
      </c>
    </row>
    <row r="144" spans="1:5" x14ac:dyDescent="0.25">
      <c r="A144" s="106">
        <v>44602</v>
      </c>
      <c r="B144" s="107">
        <v>7.5</v>
      </c>
      <c r="C144" t="s">
        <v>79</v>
      </c>
      <c r="D144" t="s">
        <v>56</v>
      </c>
      <c r="E144" t="s">
        <v>18</v>
      </c>
    </row>
    <row r="145" spans="1:5" x14ac:dyDescent="0.25">
      <c r="A145" s="106">
        <v>44603</v>
      </c>
      <c r="B145" s="107">
        <v>7.5</v>
      </c>
      <c r="C145" t="s">
        <v>79</v>
      </c>
      <c r="D145" t="s">
        <v>56</v>
      </c>
      <c r="E145" t="s">
        <v>18</v>
      </c>
    </row>
    <row r="146" spans="1:5" x14ac:dyDescent="0.25">
      <c r="A146" s="106">
        <v>44638</v>
      </c>
      <c r="B146" s="107">
        <v>1.5</v>
      </c>
      <c r="C146" t="s">
        <v>64</v>
      </c>
      <c r="D146" t="s">
        <v>55</v>
      </c>
      <c r="E146" t="s">
        <v>18</v>
      </c>
    </row>
    <row r="147" spans="1:5" x14ac:dyDescent="0.25">
      <c r="A147" s="106">
        <v>44665</v>
      </c>
      <c r="B147" s="107">
        <v>3.75</v>
      </c>
      <c r="C147" t="s">
        <v>59</v>
      </c>
      <c r="D147" t="s">
        <v>55</v>
      </c>
      <c r="E147" t="s">
        <v>57</v>
      </c>
    </row>
    <row r="148" spans="1:5" x14ac:dyDescent="0.25">
      <c r="A148" s="106">
        <v>44701</v>
      </c>
      <c r="B148" s="107">
        <v>7.5</v>
      </c>
      <c r="C148" t="s">
        <v>76</v>
      </c>
      <c r="D148" t="s">
        <v>55</v>
      </c>
      <c r="E148" t="s">
        <v>57</v>
      </c>
    </row>
    <row r="149" spans="1:5" x14ac:dyDescent="0.25">
      <c r="A149" s="106">
        <v>44718</v>
      </c>
      <c r="B149" s="107">
        <v>7.5</v>
      </c>
      <c r="C149" t="s">
        <v>71</v>
      </c>
      <c r="D149" t="s">
        <v>56</v>
      </c>
      <c r="E149" t="s">
        <v>18</v>
      </c>
    </row>
    <row r="150" spans="1:5" x14ac:dyDescent="0.25">
      <c r="A150" s="106">
        <v>44719</v>
      </c>
      <c r="B150" s="107">
        <v>7.5</v>
      </c>
      <c r="C150" t="s">
        <v>71</v>
      </c>
      <c r="D150" t="s">
        <v>56</v>
      </c>
      <c r="E150" t="s">
        <v>18</v>
      </c>
    </row>
    <row r="151" spans="1:5" x14ac:dyDescent="0.25">
      <c r="A151" s="106">
        <v>44720</v>
      </c>
      <c r="B151" s="107">
        <v>7.5</v>
      </c>
      <c r="C151" t="s">
        <v>71</v>
      </c>
      <c r="D151" t="s">
        <v>56</v>
      </c>
      <c r="E151" t="s">
        <v>18</v>
      </c>
    </row>
    <row r="152" spans="1:5" x14ac:dyDescent="0.25">
      <c r="A152" s="106">
        <v>44721</v>
      </c>
      <c r="B152" s="107">
        <v>7.5</v>
      </c>
      <c r="C152" t="s">
        <v>71</v>
      </c>
      <c r="D152" t="s">
        <v>56</v>
      </c>
      <c r="E152" t="s">
        <v>18</v>
      </c>
    </row>
    <row r="153" spans="1:5" x14ac:dyDescent="0.25">
      <c r="A153" s="106">
        <v>44722</v>
      </c>
      <c r="B153" s="107">
        <v>7.5</v>
      </c>
      <c r="C153" t="s">
        <v>71</v>
      </c>
      <c r="D153" t="s">
        <v>56</v>
      </c>
      <c r="E153" t="s">
        <v>18</v>
      </c>
    </row>
    <row r="154" spans="1:5" x14ac:dyDescent="0.25">
      <c r="A154" s="106">
        <v>44760</v>
      </c>
      <c r="B154" s="107">
        <v>7.5</v>
      </c>
      <c r="C154" t="s">
        <v>75</v>
      </c>
      <c r="D154" t="s">
        <v>54</v>
      </c>
      <c r="E154" t="s">
        <v>57</v>
      </c>
    </row>
    <row r="155" spans="1:5" x14ac:dyDescent="0.25">
      <c r="A155" s="106">
        <v>44761</v>
      </c>
      <c r="B155" s="107">
        <v>7.5</v>
      </c>
      <c r="C155" t="s">
        <v>75</v>
      </c>
      <c r="D155" t="s">
        <v>54</v>
      </c>
      <c r="E155" t="s">
        <v>57</v>
      </c>
    </row>
    <row r="156" spans="1:5" x14ac:dyDescent="0.25">
      <c r="A156" s="106">
        <v>44762</v>
      </c>
      <c r="B156" s="107">
        <v>7.5</v>
      </c>
      <c r="C156" t="s">
        <v>75</v>
      </c>
      <c r="D156" t="s">
        <v>54</v>
      </c>
      <c r="E156" t="s">
        <v>57</v>
      </c>
    </row>
    <row r="157" spans="1:5" x14ac:dyDescent="0.25">
      <c r="A157" s="106">
        <v>44763</v>
      </c>
      <c r="B157" s="107">
        <v>7.5</v>
      </c>
      <c r="C157" t="s">
        <v>75</v>
      </c>
      <c r="D157" t="s">
        <v>54</v>
      </c>
      <c r="E157" t="s">
        <v>57</v>
      </c>
    </row>
    <row r="158" spans="1:5" x14ac:dyDescent="0.25">
      <c r="A158" s="106">
        <v>44764</v>
      </c>
      <c r="B158" s="107">
        <v>7.5</v>
      </c>
      <c r="C158" t="s">
        <v>75</v>
      </c>
      <c r="D158" t="s">
        <v>54</v>
      </c>
      <c r="E158" t="s">
        <v>57</v>
      </c>
    </row>
    <row r="159" spans="1:5" x14ac:dyDescent="0.25">
      <c r="A159" s="106">
        <v>44767</v>
      </c>
      <c r="B159" s="107">
        <v>7.5</v>
      </c>
      <c r="C159" t="s">
        <v>75</v>
      </c>
      <c r="D159" t="s">
        <v>54</v>
      </c>
      <c r="E159" t="s">
        <v>57</v>
      </c>
    </row>
    <row r="160" spans="1:5" x14ac:dyDescent="0.25">
      <c r="A160" s="106">
        <v>44768</v>
      </c>
      <c r="B160" s="107">
        <v>7.5</v>
      </c>
      <c r="C160" t="s">
        <v>75</v>
      </c>
      <c r="D160" t="s">
        <v>54</v>
      </c>
      <c r="E160" t="s">
        <v>57</v>
      </c>
    </row>
    <row r="161" spans="1:5" x14ac:dyDescent="0.25">
      <c r="A161" s="106">
        <v>44769</v>
      </c>
      <c r="B161" s="107">
        <v>7.5</v>
      </c>
      <c r="C161" t="s">
        <v>75</v>
      </c>
      <c r="D161" t="s">
        <v>54</v>
      </c>
      <c r="E161" t="s">
        <v>57</v>
      </c>
    </row>
    <row r="162" spans="1:5" x14ac:dyDescent="0.25">
      <c r="A162" s="106">
        <v>44770</v>
      </c>
      <c r="B162" s="107">
        <v>7.5</v>
      </c>
      <c r="C162" t="s">
        <v>75</v>
      </c>
      <c r="D162" t="s">
        <v>54</v>
      </c>
      <c r="E162" t="s">
        <v>57</v>
      </c>
    </row>
    <row r="163" spans="1:5" x14ac:dyDescent="0.25">
      <c r="A163" s="106">
        <v>44771</v>
      </c>
      <c r="B163" s="107">
        <v>7.5</v>
      </c>
      <c r="C163" t="s">
        <v>75</v>
      </c>
      <c r="D163" t="s">
        <v>54</v>
      </c>
      <c r="E163" t="s">
        <v>57</v>
      </c>
    </row>
    <row r="164" spans="1:5" x14ac:dyDescent="0.25">
      <c r="A164" s="106">
        <v>44806</v>
      </c>
      <c r="B164" s="107">
        <v>7.5</v>
      </c>
      <c r="C164" t="s">
        <v>60</v>
      </c>
      <c r="D164" t="s">
        <v>55</v>
      </c>
      <c r="E164" t="s">
        <v>18</v>
      </c>
    </row>
    <row r="165" spans="1:5" x14ac:dyDescent="0.25">
      <c r="A165" s="106">
        <v>44862</v>
      </c>
      <c r="B165" s="107">
        <v>7.5</v>
      </c>
      <c r="C165" t="s">
        <v>80</v>
      </c>
      <c r="D165" t="s">
        <v>55</v>
      </c>
      <c r="E165" t="s">
        <v>18</v>
      </c>
    </row>
    <row r="166" spans="1:5" x14ac:dyDescent="0.25">
      <c r="A166" s="106">
        <v>44914</v>
      </c>
      <c r="B166" s="107">
        <v>7.5</v>
      </c>
      <c r="C166" t="s">
        <v>62</v>
      </c>
      <c r="D166" t="s">
        <v>55</v>
      </c>
      <c r="E166" t="s">
        <v>18</v>
      </c>
    </row>
    <row r="167" spans="1:5" x14ac:dyDescent="0.25">
      <c r="A167" s="106">
        <v>44915</v>
      </c>
      <c r="B167" s="107">
        <v>7.5</v>
      </c>
      <c r="C167" t="s">
        <v>62</v>
      </c>
      <c r="D167" t="s">
        <v>55</v>
      </c>
      <c r="E167" t="s">
        <v>18</v>
      </c>
    </row>
    <row r="168" spans="1:5" x14ac:dyDescent="0.25">
      <c r="A168" s="106">
        <v>44916</v>
      </c>
      <c r="B168" s="107">
        <v>7.5</v>
      </c>
      <c r="C168" t="s">
        <v>62</v>
      </c>
      <c r="D168" t="s">
        <v>55</v>
      </c>
      <c r="E168" t="s">
        <v>18</v>
      </c>
    </row>
    <row r="169" spans="1:5" x14ac:dyDescent="0.25">
      <c r="A169" s="106">
        <v>44917</v>
      </c>
      <c r="B169" s="107">
        <v>7.5</v>
      </c>
      <c r="C169" t="s">
        <v>62</v>
      </c>
      <c r="D169" t="s">
        <v>55</v>
      </c>
      <c r="E169" t="s">
        <v>18</v>
      </c>
    </row>
    <row r="170" spans="1:5" x14ac:dyDescent="0.25">
      <c r="A170" s="106">
        <v>44918</v>
      </c>
      <c r="B170" s="107">
        <v>7.5</v>
      </c>
      <c r="C170" t="s">
        <v>62</v>
      </c>
      <c r="D170" t="s">
        <v>55</v>
      </c>
      <c r="E170" t="s">
        <v>18</v>
      </c>
    </row>
    <row r="171" spans="1:5" x14ac:dyDescent="0.25">
      <c r="A171" s="106">
        <v>44942</v>
      </c>
      <c r="B171" s="107">
        <v>7.5</v>
      </c>
      <c r="C171" t="s">
        <v>63</v>
      </c>
      <c r="D171" t="s">
        <v>56</v>
      </c>
      <c r="E171" t="s">
        <v>18</v>
      </c>
    </row>
    <row r="172" spans="1:5" x14ac:dyDescent="0.25">
      <c r="A172" s="106">
        <v>44943</v>
      </c>
      <c r="B172" s="107">
        <v>7.5</v>
      </c>
      <c r="C172" t="s">
        <v>63</v>
      </c>
      <c r="D172" t="s">
        <v>56</v>
      </c>
      <c r="E172" t="s">
        <v>18</v>
      </c>
    </row>
    <row r="173" spans="1:5" x14ac:dyDescent="0.25">
      <c r="A173" s="106">
        <v>44944</v>
      </c>
      <c r="B173" s="107">
        <v>7.5</v>
      </c>
      <c r="C173" t="s">
        <v>63</v>
      </c>
      <c r="D173" t="s">
        <v>56</v>
      </c>
      <c r="E173" t="s">
        <v>18</v>
      </c>
    </row>
    <row r="174" spans="1:5" x14ac:dyDescent="0.25">
      <c r="A174" s="106">
        <v>44984</v>
      </c>
      <c r="B174" s="107">
        <v>7.5</v>
      </c>
      <c r="C174" t="s">
        <v>74</v>
      </c>
      <c r="D174" t="s">
        <v>54</v>
      </c>
      <c r="E174" t="s">
        <v>57</v>
      </c>
    </row>
    <row r="175" spans="1:5" x14ac:dyDescent="0.25">
      <c r="A175" s="106">
        <v>44985</v>
      </c>
      <c r="B175" s="107">
        <v>7.5</v>
      </c>
      <c r="C175" t="s">
        <v>74</v>
      </c>
      <c r="D175" t="s">
        <v>54</v>
      </c>
      <c r="E175" t="s">
        <v>57</v>
      </c>
    </row>
    <row r="176" spans="1:5" x14ac:dyDescent="0.25">
      <c r="A176" s="106">
        <v>44986</v>
      </c>
      <c r="B176" s="107">
        <v>7.5</v>
      </c>
      <c r="C176" t="s">
        <v>74</v>
      </c>
      <c r="D176" t="s">
        <v>54</v>
      </c>
      <c r="E176" t="s">
        <v>57</v>
      </c>
    </row>
    <row r="177" spans="1:5" x14ac:dyDescent="0.25">
      <c r="A177" s="106">
        <v>44987</v>
      </c>
      <c r="B177" s="107">
        <v>7.5</v>
      </c>
      <c r="C177" t="s">
        <v>74</v>
      </c>
      <c r="D177" t="s">
        <v>54</v>
      </c>
      <c r="E177" t="s">
        <v>57</v>
      </c>
    </row>
    <row r="178" spans="1:5" x14ac:dyDescent="0.25">
      <c r="A178" s="106">
        <v>44988</v>
      </c>
      <c r="B178" s="107">
        <v>7.5</v>
      </c>
      <c r="C178" t="s">
        <v>74</v>
      </c>
      <c r="D178" t="s">
        <v>54</v>
      </c>
      <c r="E178" t="s">
        <v>57</v>
      </c>
    </row>
    <row r="179" spans="1:5" x14ac:dyDescent="0.25">
      <c r="A179" s="106">
        <v>45016</v>
      </c>
      <c r="B179" s="107">
        <v>7.5</v>
      </c>
      <c r="C179" t="s">
        <v>76</v>
      </c>
      <c r="D179" t="s">
        <v>54</v>
      </c>
      <c r="E179" t="s">
        <v>57</v>
      </c>
    </row>
    <row r="180" spans="1:5" x14ac:dyDescent="0.25">
      <c r="A180" s="106">
        <v>45051</v>
      </c>
      <c r="B180" s="107">
        <v>7.5</v>
      </c>
      <c r="C180" t="s">
        <v>60</v>
      </c>
      <c r="D180" t="s">
        <v>55</v>
      </c>
      <c r="E180" t="s">
        <v>18</v>
      </c>
    </row>
    <row r="181" spans="1:5" x14ac:dyDescent="0.25">
      <c r="A181" s="106">
        <v>45096</v>
      </c>
      <c r="B181" s="107">
        <v>7.5</v>
      </c>
      <c r="C181" t="s">
        <v>71</v>
      </c>
      <c r="D181" t="s">
        <v>55</v>
      </c>
      <c r="E181" t="s">
        <v>18</v>
      </c>
    </row>
    <row r="182" spans="1:5" x14ac:dyDescent="0.25">
      <c r="A182" s="106">
        <v>45097</v>
      </c>
      <c r="B182" s="107">
        <v>7.5</v>
      </c>
      <c r="C182" t="s">
        <v>71</v>
      </c>
      <c r="D182" t="s">
        <v>55</v>
      </c>
      <c r="E182" t="s">
        <v>18</v>
      </c>
    </row>
    <row r="183" spans="1:5" x14ac:dyDescent="0.25">
      <c r="A183" s="106">
        <v>45098</v>
      </c>
      <c r="B183" s="107">
        <v>7.5</v>
      </c>
      <c r="C183" t="s">
        <v>71</v>
      </c>
      <c r="D183" t="s">
        <v>55</v>
      </c>
      <c r="E183" t="s">
        <v>18</v>
      </c>
    </row>
    <row r="184" spans="1:5" x14ac:dyDescent="0.25">
      <c r="A184" s="106">
        <v>45099</v>
      </c>
      <c r="B184" s="107">
        <v>7.5</v>
      </c>
      <c r="C184" t="s">
        <v>71</v>
      </c>
      <c r="D184" t="s">
        <v>55</v>
      </c>
      <c r="E184" t="s">
        <v>18</v>
      </c>
    </row>
    <row r="185" spans="1:5" x14ac:dyDescent="0.25">
      <c r="A185" s="106">
        <v>45100</v>
      </c>
      <c r="B185" s="107">
        <v>7.5</v>
      </c>
      <c r="C185" t="s">
        <v>71</v>
      </c>
      <c r="D185" t="s">
        <v>55</v>
      </c>
      <c r="E185" t="s">
        <v>18</v>
      </c>
    </row>
    <row r="186" spans="1:5" x14ac:dyDescent="0.25">
      <c r="A186" s="106">
        <v>45152</v>
      </c>
      <c r="B186" s="107">
        <v>7.5</v>
      </c>
      <c r="C186" t="s">
        <v>75</v>
      </c>
      <c r="D186" t="s">
        <v>54</v>
      </c>
      <c r="E186" t="s">
        <v>18</v>
      </c>
    </row>
    <row r="187" spans="1:5" x14ac:dyDescent="0.25">
      <c r="A187" s="106">
        <v>45153</v>
      </c>
      <c r="B187" s="107">
        <v>7.5</v>
      </c>
      <c r="C187" t="s">
        <v>75</v>
      </c>
      <c r="D187" t="s">
        <v>54</v>
      </c>
      <c r="E187" t="s">
        <v>18</v>
      </c>
    </row>
    <row r="188" spans="1:5" x14ac:dyDescent="0.25">
      <c r="A188" s="106">
        <v>45154</v>
      </c>
      <c r="B188" s="107">
        <v>7.5</v>
      </c>
      <c r="C188" t="s">
        <v>75</v>
      </c>
      <c r="D188" t="s">
        <v>54</v>
      </c>
      <c r="E188" t="s">
        <v>18</v>
      </c>
    </row>
    <row r="189" spans="1:5" x14ac:dyDescent="0.25">
      <c r="A189" s="106">
        <v>45155</v>
      </c>
      <c r="B189" s="107">
        <v>7.5</v>
      </c>
      <c r="C189" t="s">
        <v>75</v>
      </c>
      <c r="D189" t="s">
        <v>54</v>
      </c>
      <c r="E189" t="s">
        <v>18</v>
      </c>
    </row>
    <row r="190" spans="1:5" x14ac:dyDescent="0.25">
      <c r="A190" s="106">
        <v>45156</v>
      </c>
      <c r="B190" s="107">
        <v>7.5</v>
      </c>
      <c r="C190" t="s">
        <v>75</v>
      </c>
      <c r="D190" t="s">
        <v>54</v>
      </c>
      <c r="E190" t="s">
        <v>18</v>
      </c>
    </row>
    <row r="191" spans="1:5" x14ac:dyDescent="0.25">
      <c r="A191" s="106">
        <v>45194</v>
      </c>
      <c r="B191" s="107">
        <v>7.5</v>
      </c>
      <c r="C191" t="s">
        <v>73</v>
      </c>
      <c r="D191" t="s">
        <v>55</v>
      </c>
      <c r="E191" t="s">
        <v>18</v>
      </c>
    </row>
    <row r="192" spans="1:5" x14ac:dyDescent="0.25">
      <c r="A192" s="106">
        <v>45195</v>
      </c>
      <c r="B192" s="107">
        <v>7.5</v>
      </c>
      <c r="C192" t="s">
        <v>73</v>
      </c>
      <c r="D192" t="s">
        <v>55</v>
      </c>
      <c r="E192" t="s">
        <v>18</v>
      </c>
    </row>
    <row r="193" spans="1:5" x14ac:dyDescent="0.25">
      <c r="A193" s="106">
        <v>45196</v>
      </c>
      <c r="B193" s="107">
        <v>7.5</v>
      </c>
      <c r="C193" t="s">
        <v>73</v>
      </c>
      <c r="D193" t="s">
        <v>55</v>
      </c>
      <c r="E193" t="s">
        <v>18</v>
      </c>
    </row>
    <row r="194" spans="1:5" x14ac:dyDescent="0.25">
      <c r="A194" s="106">
        <v>45233</v>
      </c>
      <c r="B194" s="107">
        <v>7.5</v>
      </c>
      <c r="C194" t="s">
        <v>61</v>
      </c>
      <c r="D194" t="s">
        <v>54</v>
      </c>
      <c r="E194" t="s">
        <v>18</v>
      </c>
    </row>
    <row r="195" spans="1:5" x14ac:dyDescent="0.25">
      <c r="A195" s="106">
        <v>45287</v>
      </c>
      <c r="B195" s="107">
        <v>7.5</v>
      </c>
      <c r="C195" t="s">
        <v>62</v>
      </c>
      <c r="D195" t="s">
        <v>55</v>
      </c>
      <c r="E195" t="s">
        <v>18</v>
      </c>
    </row>
    <row r="196" spans="1:5" x14ac:dyDescent="0.25">
      <c r="A196" s="106">
        <v>45288</v>
      </c>
      <c r="B196" s="107">
        <v>7.5</v>
      </c>
      <c r="C196" t="s">
        <v>62</v>
      </c>
      <c r="D196" t="s">
        <v>55</v>
      </c>
      <c r="E196" t="s">
        <v>18</v>
      </c>
    </row>
    <row r="197" spans="1:5" x14ac:dyDescent="0.25">
      <c r="A197" s="106">
        <v>45289</v>
      </c>
      <c r="B197" s="107">
        <v>7.5</v>
      </c>
      <c r="C197" t="s">
        <v>62</v>
      </c>
      <c r="D197" t="s">
        <v>55</v>
      </c>
      <c r="E197" t="s">
        <v>18</v>
      </c>
    </row>
    <row r="198" spans="1:5" x14ac:dyDescent="0.25">
      <c r="A198" s="106">
        <v>45310</v>
      </c>
      <c r="B198" s="107">
        <v>7.5</v>
      </c>
      <c r="C198" t="s">
        <v>76</v>
      </c>
      <c r="D198" t="s">
        <v>54</v>
      </c>
      <c r="E198" t="s">
        <v>18</v>
      </c>
    </row>
    <row r="199" spans="1:5" x14ac:dyDescent="0.25">
      <c r="A199" s="106">
        <v>45334</v>
      </c>
      <c r="B199" s="107">
        <v>7.5</v>
      </c>
      <c r="C199" t="s">
        <v>79</v>
      </c>
      <c r="D199" t="s">
        <v>55</v>
      </c>
      <c r="E199" t="s">
        <v>18</v>
      </c>
    </row>
    <row r="200" spans="1:5" x14ac:dyDescent="0.25">
      <c r="A200" s="106">
        <v>45335</v>
      </c>
      <c r="B200" s="107">
        <v>7.5</v>
      </c>
      <c r="C200" t="s">
        <v>79</v>
      </c>
      <c r="D200" t="s">
        <v>55</v>
      </c>
      <c r="E200" t="s">
        <v>18</v>
      </c>
    </row>
    <row r="201" spans="1:5" x14ac:dyDescent="0.25">
      <c r="A201" s="106">
        <v>45336</v>
      </c>
      <c r="B201" s="107">
        <v>7.5</v>
      </c>
      <c r="C201" t="s">
        <v>79</v>
      </c>
      <c r="D201" t="s">
        <v>55</v>
      </c>
      <c r="E201" t="s">
        <v>18</v>
      </c>
    </row>
    <row r="202" spans="1:5" x14ac:dyDescent="0.25">
      <c r="A202" s="106">
        <v>45337</v>
      </c>
      <c r="B202" s="107">
        <v>7.5</v>
      </c>
      <c r="C202" t="s">
        <v>79</v>
      </c>
      <c r="D202" t="s">
        <v>55</v>
      </c>
      <c r="E202" t="s">
        <v>18</v>
      </c>
    </row>
    <row r="203" spans="1:5" x14ac:dyDescent="0.25">
      <c r="A203" s="106">
        <v>45338</v>
      </c>
      <c r="B203" s="107">
        <v>7.5</v>
      </c>
      <c r="C203" t="s">
        <v>79</v>
      </c>
      <c r="D203" t="s">
        <v>55</v>
      </c>
      <c r="E203" t="s">
        <v>18</v>
      </c>
    </row>
    <row r="204" spans="1:5" x14ac:dyDescent="0.25">
      <c r="A204" s="106">
        <v>45373</v>
      </c>
      <c r="B204" s="107">
        <v>3.75</v>
      </c>
      <c r="C204" t="s">
        <v>59</v>
      </c>
      <c r="D204" t="s">
        <v>54</v>
      </c>
      <c r="E204" t="s">
        <v>18</v>
      </c>
    </row>
    <row r="205" spans="1:5" x14ac:dyDescent="0.25">
      <c r="A205" s="106">
        <v>45401</v>
      </c>
      <c r="B205" s="107">
        <v>7.5</v>
      </c>
      <c r="C205" t="s">
        <v>60</v>
      </c>
      <c r="D205" t="s">
        <v>54</v>
      </c>
      <c r="E205" t="s">
        <v>18</v>
      </c>
    </row>
    <row r="206" spans="1:5" x14ac:dyDescent="0.25">
      <c r="A206" s="106">
        <v>45422</v>
      </c>
      <c r="B206" s="107">
        <v>7.5</v>
      </c>
      <c r="C206" t="s">
        <v>76</v>
      </c>
      <c r="D206" t="s">
        <v>55</v>
      </c>
      <c r="E206" t="s">
        <v>57</v>
      </c>
    </row>
    <row r="207" spans="1:5" x14ac:dyDescent="0.25">
      <c r="A207" s="106">
        <v>45450</v>
      </c>
      <c r="B207" s="107">
        <v>7.5</v>
      </c>
      <c r="C207" t="s">
        <v>60</v>
      </c>
      <c r="D207" t="s">
        <v>55</v>
      </c>
      <c r="E207" t="s">
        <v>18</v>
      </c>
    </row>
    <row r="208" spans="1:5" x14ac:dyDescent="0.25">
      <c r="A208" s="106">
        <v>45481</v>
      </c>
      <c r="B208" s="107">
        <v>7.5</v>
      </c>
      <c r="C208" t="s">
        <v>75</v>
      </c>
      <c r="D208" t="s">
        <v>55</v>
      </c>
      <c r="E208" t="s">
        <v>18</v>
      </c>
    </row>
    <row r="209" spans="1:5" x14ac:dyDescent="0.25">
      <c r="A209" s="106">
        <v>45482</v>
      </c>
      <c r="B209" s="107">
        <v>7.5</v>
      </c>
      <c r="C209" t="s">
        <v>75</v>
      </c>
      <c r="D209" t="s">
        <v>55</v>
      </c>
      <c r="E209" t="s">
        <v>18</v>
      </c>
    </row>
    <row r="210" spans="1:5" x14ac:dyDescent="0.25">
      <c r="A210" s="106">
        <v>45483</v>
      </c>
      <c r="B210" s="107">
        <v>7.5</v>
      </c>
      <c r="C210" t="s">
        <v>75</v>
      </c>
      <c r="D210" t="s">
        <v>55</v>
      </c>
      <c r="E210" t="s">
        <v>18</v>
      </c>
    </row>
    <row r="211" spans="1:5" x14ac:dyDescent="0.25">
      <c r="A211" s="106">
        <v>45484</v>
      </c>
      <c r="B211" s="107">
        <v>7.5</v>
      </c>
      <c r="C211" t="s">
        <v>75</v>
      </c>
      <c r="D211" t="s">
        <v>55</v>
      </c>
      <c r="E211" t="s">
        <v>18</v>
      </c>
    </row>
    <row r="212" spans="1:5" x14ac:dyDescent="0.25">
      <c r="A212" s="106">
        <v>45485</v>
      </c>
      <c r="B212" s="107">
        <v>7.5</v>
      </c>
      <c r="C212" t="s">
        <v>75</v>
      </c>
      <c r="D212" t="s">
        <v>55</v>
      </c>
      <c r="E212" t="s">
        <v>18</v>
      </c>
    </row>
    <row r="213" spans="1:5" x14ac:dyDescent="0.25">
      <c r="A213" s="106">
        <v>45488</v>
      </c>
      <c r="B213" s="107">
        <v>7.5</v>
      </c>
      <c r="C213" t="s">
        <v>75</v>
      </c>
      <c r="D213" t="s">
        <v>55</v>
      </c>
      <c r="E213" t="s">
        <v>18</v>
      </c>
    </row>
    <row r="214" spans="1:5" x14ac:dyDescent="0.25">
      <c r="A214" s="106">
        <v>45489</v>
      </c>
      <c r="B214" s="107">
        <v>7.5</v>
      </c>
      <c r="C214" t="s">
        <v>75</v>
      </c>
      <c r="D214" t="s">
        <v>55</v>
      </c>
      <c r="E214" t="s">
        <v>18</v>
      </c>
    </row>
    <row r="215" spans="1:5" x14ac:dyDescent="0.25">
      <c r="A215" s="106">
        <v>45490</v>
      </c>
      <c r="B215" s="107">
        <v>7.5</v>
      </c>
      <c r="C215" t="s">
        <v>75</v>
      </c>
      <c r="D215" t="s">
        <v>55</v>
      </c>
      <c r="E215" t="s">
        <v>18</v>
      </c>
    </row>
    <row r="216" spans="1:5" x14ac:dyDescent="0.25">
      <c r="A216" s="106">
        <v>45491</v>
      </c>
      <c r="B216" s="107">
        <v>7.5</v>
      </c>
      <c r="C216" t="s">
        <v>75</v>
      </c>
      <c r="D216" t="s">
        <v>55</v>
      </c>
      <c r="E216" t="s">
        <v>18</v>
      </c>
    </row>
    <row r="217" spans="1:5" x14ac:dyDescent="0.25">
      <c r="A217" s="106">
        <v>45492</v>
      </c>
      <c r="B217" s="107">
        <v>7.5</v>
      </c>
      <c r="C217" t="s">
        <v>75</v>
      </c>
      <c r="D217" t="s">
        <v>55</v>
      </c>
      <c r="E217" t="s">
        <v>18</v>
      </c>
    </row>
    <row r="218" spans="1:5" x14ac:dyDescent="0.25">
      <c r="A218" s="106">
        <v>45534</v>
      </c>
      <c r="B218" s="107">
        <v>7.5</v>
      </c>
      <c r="C218" t="s">
        <v>60</v>
      </c>
      <c r="D218" t="s">
        <v>54</v>
      </c>
      <c r="E218" t="s">
        <v>18</v>
      </c>
    </row>
    <row r="219" spans="1:5" x14ac:dyDescent="0.25">
      <c r="A219" s="106">
        <v>45596</v>
      </c>
      <c r="B219" s="107">
        <v>7.5</v>
      </c>
      <c r="C219" t="s">
        <v>81</v>
      </c>
      <c r="D219" t="s">
        <v>55</v>
      </c>
      <c r="E219" t="s">
        <v>18</v>
      </c>
    </row>
    <row r="220" spans="1:5" x14ac:dyDescent="0.25">
      <c r="A220" s="106">
        <v>45597</v>
      </c>
      <c r="B220" s="107">
        <v>7.5</v>
      </c>
      <c r="C220" t="s">
        <v>81</v>
      </c>
      <c r="D220" t="s">
        <v>55</v>
      </c>
      <c r="E220" t="s">
        <v>18</v>
      </c>
    </row>
    <row r="221" spans="1:5" x14ac:dyDescent="0.25">
      <c r="A221" s="106">
        <v>45649</v>
      </c>
      <c r="B221" s="107">
        <v>7.5</v>
      </c>
      <c r="C221" t="s">
        <v>62</v>
      </c>
      <c r="D221" t="s">
        <v>56</v>
      </c>
      <c r="E221" t="s">
        <v>18</v>
      </c>
    </row>
    <row r="222" spans="1:5" x14ac:dyDescent="0.25">
      <c r="A222" s="106">
        <v>45650</v>
      </c>
      <c r="B222" s="107">
        <v>7.5</v>
      </c>
      <c r="C222" t="s">
        <v>62</v>
      </c>
      <c r="D222" t="s">
        <v>56</v>
      </c>
      <c r="E222" t="s">
        <v>18</v>
      </c>
    </row>
    <row r="223" spans="1:5" x14ac:dyDescent="0.25">
      <c r="A223" s="106">
        <v>45653</v>
      </c>
      <c r="B223" s="107">
        <v>7.5</v>
      </c>
      <c r="C223" t="s">
        <v>62</v>
      </c>
      <c r="D223" t="s">
        <v>56</v>
      </c>
      <c r="E223" t="s">
        <v>18</v>
      </c>
    </row>
    <row r="224" spans="1:5" x14ac:dyDescent="0.25">
      <c r="A224" s="106">
        <v>45656</v>
      </c>
      <c r="B224" s="107">
        <v>7.5</v>
      </c>
      <c r="C224" t="s">
        <v>62</v>
      </c>
      <c r="D224" t="s">
        <v>56</v>
      </c>
      <c r="E224" t="s">
        <v>18</v>
      </c>
    </row>
    <row r="225" spans="1:5" x14ac:dyDescent="0.25">
      <c r="A225" s="106">
        <v>45657</v>
      </c>
      <c r="B225" s="107">
        <v>7.5</v>
      </c>
      <c r="C225" t="s">
        <v>62</v>
      </c>
      <c r="D225" t="s">
        <v>56</v>
      </c>
      <c r="E225" t="s">
        <v>18</v>
      </c>
    </row>
    <row r="226" spans="1:5" x14ac:dyDescent="0.25">
      <c r="A226" s="106">
        <v>45684</v>
      </c>
      <c r="B226" s="107">
        <v>7.5</v>
      </c>
      <c r="C226" t="s">
        <v>79</v>
      </c>
      <c r="D226" t="s">
        <v>55</v>
      </c>
      <c r="E226" t="s">
        <v>57</v>
      </c>
    </row>
    <row r="227" spans="1:5" x14ac:dyDescent="0.25">
      <c r="A227" s="106">
        <v>45685</v>
      </c>
      <c r="B227" s="107">
        <v>7.5</v>
      </c>
      <c r="C227" t="s">
        <v>79</v>
      </c>
      <c r="D227" t="s">
        <v>55</v>
      </c>
      <c r="E227" t="s">
        <v>57</v>
      </c>
    </row>
    <row r="228" spans="1:5" x14ac:dyDescent="0.25">
      <c r="A228" s="106">
        <v>45686</v>
      </c>
      <c r="B228" s="107">
        <v>7.5</v>
      </c>
      <c r="C228" t="s">
        <v>79</v>
      </c>
      <c r="D228" t="s">
        <v>55</v>
      </c>
      <c r="E228" t="s">
        <v>57</v>
      </c>
    </row>
    <row r="229" spans="1:5" x14ac:dyDescent="0.25">
      <c r="A229" s="106">
        <v>45687</v>
      </c>
      <c r="B229" s="107">
        <v>7.5</v>
      </c>
      <c r="C229" t="s">
        <v>79</v>
      </c>
      <c r="D229" t="s">
        <v>55</v>
      </c>
      <c r="E229" t="s">
        <v>57</v>
      </c>
    </row>
    <row r="230" spans="1:5" x14ac:dyDescent="0.25">
      <c r="A230" s="106">
        <v>45688</v>
      </c>
      <c r="B230" s="107">
        <v>7.5</v>
      </c>
      <c r="C230" t="s">
        <v>79</v>
      </c>
      <c r="D230" t="s">
        <v>55</v>
      </c>
      <c r="E230" t="s">
        <v>57</v>
      </c>
    </row>
    <row r="231" spans="1:5" x14ac:dyDescent="0.25">
      <c r="A231" s="106">
        <v>45730</v>
      </c>
      <c r="B231" s="107">
        <v>7.5</v>
      </c>
      <c r="C231" t="s">
        <v>76</v>
      </c>
      <c r="D231" t="s">
        <v>55</v>
      </c>
      <c r="E231" t="s">
        <v>18</v>
      </c>
    </row>
    <row r="232" spans="1:5" x14ac:dyDescent="0.25">
      <c r="A232" s="106">
        <v>45744</v>
      </c>
      <c r="B232" s="107">
        <v>3.75</v>
      </c>
      <c r="C232" t="s">
        <v>59</v>
      </c>
      <c r="D232" t="s">
        <v>54</v>
      </c>
      <c r="E232" t="s">
        <v>18</v>
      </c>
    </row>
    <row r="233" spans="1:5" x14ac:dyDescent="0.25">
      <c r="A233" s="106">
        <v>45758</v>
      </c>
      <c r="B233" s="107">
        <v>7.5</v>
      </c>
      <c r="C233" t="s">
        <v>60</v>
      </c>
      <c r="D233" t="s">
        <v>55</v>
      </c>
      <c r="E233" t="s">
        <v>18</v>
      </c>
    </row>
    <row r="234" spans="1:5" x14ac:dyDescent="0.25">
      <c r="A234" s="106">
        <v>45800</v>
      </c>
      <c r="B234" s="107">
        <v>7.5</v>
      </c>
      <c r="C234" t="s">
        <v>76</v>
      </c>
      <c r="D234" t="s">
        <v>55</v>
      </c>
      <c r="E234" t="s">
        <v>18</v>
      </c>
    </row>
    <row r="235" spans="1:5" x14ac:dyDescent="0.25">
      <c r="A235" s="106">
        <v>45817</v>
      </c>
      <c r="B235" s="107">
        <v>7.5</v>
      </c>
      <c r="C235" t="s">
        <v>71</v>
      </c>
      <c r="D235" t="s">
        <v>55</v>
      </c>
      <c r="E235" t="s">
        <v>18</v>
      </c>
    </row>
    <row r="236" spans="1:5" x14ac:dyDescent="0.25">
      <c r="A236" s="106">
        <v>45818</v>
      </c>
      <c r="B236" s="107">
        <v>7.5</v>
      </c>
      <c r="C236" t="s">
        <v>71</v>
      </c>
      <c r="D236" t="s">
        <v>55</v>
      </c>
      <c r="E236" t="s">
        <v>18</v>
      </c>
    </row>
    <row r="237" spans="1:5" x14ac:dyDescent="0.25">
      <c r="A237" s="106">
        <v>45819</v>
      </c>
      <c r="B237" s="107">
        <v>7.5</v>
      </c>
      <c r="C237" t="s">
        <v>71</v>
      </c>
      <c r="D237" t="s">
        <v>55</v>
      </c>
      <c r="E237" t="s">
        <v>18</v>
      </c>
    </row>
    <row r="238" spans="1:5" x14ac:dyDescent="0.25">
      <c r="A238" s="106">
        <v>45820</v>
      </c>
      <c r="B238" s="107">
        <v>7.5</v>
      </c>
      <c r="C238" t="s">
        <v>71</v>
      </c>
      <c r="D238" t="s">
        <v>55</v>
      </c>
      <c r="E238" t="s">
        <v>18</v>
      </c>
    </row>
    <row r="239" spans="1:5" x14ac:dyDescent="0.25">
      <c r="A239" s="106">
        <v>45821</v>
      </c>
      <c r="B239" s="107">
        <v>7.5</v>
      </c>
      <c r="C239" t="s">
        <v>71</v>
      </c>
      <c r="D239" t="s">
        <v>55</v>
      </c>
      <c r="E239" t="s">
        <v>18</v>
      </c>
    </row>
    <row r="240" spans="1:5" x14ac:dyDescent="0.25">
      <c r="A240" s="106">
        <v>45873</v>
      </c>
      <c r="B240" s="107">
        <v>7.5</v>
      </c>
      <c r="C240" t="s">
        <v>75</v>
      </c>
      <c r="D240" t="s">
        <v>56</v>
      </c>
      <c r="E240" t="s">
        <v>18</v>
      </c>
    </row>
    <row r="241" spans="1:5" x14ac:dyDescent="0.25">
      <c r="A241" s="106">
        <v>45874</v>
      </c>
      <c r="B241" s="107">
        <v>7.5</v>
      </c>
      <c r="C241" t="s">
        <v>75</v>
      </c>
      <c r="D241" t="s">
        <v>56</v>
      </c>
      <c r="E241" t="s">
        <v>18</v>
      </c>
    </row>
    <row r="242" spans="1:5" x14ac:dyDescent="0.25">
      <c r="A242" s="106">
        <v>45875</v>
      </c>
      <c r="B242" s="107">
        <v>7.5</v>
      </c>
      <c r="C242" t="s">
        <v>75</v>
      </c>
      <c r="D242" t="s">
        <v>56</v>
      </c>
      <c r="E242" t="s">
        <v>18</v>
      </c>
    </row>
    <row r="243" spans="1:5" x14ac:dyDescent="0.25">
      <c r="A243" s="106">
        <v>45876</v>
      </c>
      <c r="B243" s="107">
        <v>7.5</v>
      </c>
      <c r="C243" t="s">
        <v>75</v>
      </c>
      <c r="D243" t="s">
        <v>56</v>
      </c>
      <c r="E243" t="s">
        <v>18</v>
      </c>
    </row>
    <row r="244" spans="1:5" x14ac:dyDescent="0.25">
      <c r="A244" s="106">
        <v>45877</v>
      </c>
      <c r="B244" s="107">
        <v>7.5</v>
      </c>
      <c r="C244" t="s">
        <v>75</v>
      </c>
      <c r="D244" t="s">
        <v>56</v>
      </c>
      <c r="E244" t="s">
        <v>18</v>
      </c>
    </row>
    <row r="245" spans="1:5" x14ac:dyDescent="0.25">
      <c r="A245" s="106">
        <v>45950</v>
      </c>
      <c r="B245" s="107">
        <v>7.5</v>
      </c>
      <c r="C245" t="s">
        <v>77</v>
      </c>
      <c r="D245" t="s">
        <v>54</v>
      </c>
      <c r="E245" t="s">
        <v>57</v>
      </c>
    </row>
    <row r="246" spans="1:5" x14ac:dyDescent="0.25">
      <c r="A246" s="106">
        <v>45951</v>
      </c>
      <c r="B246" s="107">
        <v>7.5</v>
      </c>
      <c r="C246" t="s">
        <v>77</v>
      </c>
      <c r="D246" t="s">
        <v>54</v>
      </c>
      <c r="E246" t="s">
        <v>57</v>
      </c>
    </row>
    <row r="247" spans="1:5" x14ac:dyDescent="0.25">
      <c r="A247" s="106">
        <v>45952</v>
      </c>
      <c r="B247" s="107">
        <v>7.5</v>
      </c>
      <c r="C247" t="s">
        <v>77</v>
      </c>
      <c r="D247" t="s">
        <v>54</v>
      </c>
      <c r="E247" t="s">
        <v>57</v>
      </c>
    </row>
    <row r="248" spans="1:5" x14ac:dyDescent="0.25">
      <c r="A248" s="106">
        <v>45953</v>
      </c>
      <c r="B248" s="107">
        <v>7.5</v>
      </c>
      <c r="C248" t="s">
        <v>77</v>
      </c>
      <c r="D248" t="s">
        <v>54</v>
      </c>
      <c r="E248" t="s">
        <v>57</v>
      </c>
    </row>
    <row r="249" spans="1:5" x14ac:dyDescent="0.25">
      <c r="A249" s="106">
        <v>45954</v>
      </c>
      <c r="B249" s="107">
        <v>7.5</v>
      </c>
      <c r="C249" t="s">
        <v>77</v>
      </c>
      <c r="D249" t="s">
        <v>54</v>
      </c>
      <c r="E249" t="s">
        <v>57</v>
      </c>
    </row>
    <row r="250" spans="1:5" x14ac:dyDescent="0.25">
      <c r="A250" s="106">
        <v>46013</v>
      </c>
      <c r="B250" s="107">
        <v>7.5</v>
      </c>
      <c r="C250" t="s">
        <v>62</v>
      </c>
      <c r="D250" t="s">
        <v>56</v>
      </c>
      <c r="E250" t="s">
        <v>18</v>
      </c>
    </row>
    <row r="251" spans="1:5" x14ac:dyDescent="0.25">
      <c r="A251" s="106">
        <v>46014</v>
      </c>
      <c r="B251" s="107">
        <v>7.5</v>
      </c>
      <c r="C251" t="s">
        <v>62</v>
      </c>
      <c r="D251" t="s">
        <v>56</v>
      </c>
      <c r="E251" t="s">
        <v>18</v>
      </c>
    </row>
    <row r="252" spans="1:5" x14ac:dyDescent="0.25">
      <c r="A252" s="106">
        <v>46015</v>
      </c>
      <c r="B252" s="107">
        <v>7.5</v>
      </c>
      <c r="C252" t="s">
        <v>62</v>
      </c>
      <c r="D252" t="s">
        <v>56</v>
      </c>
      <c r="E252" t="s">
        <v>18</v>
      </c>
    </row>
    <row r="253" spans="1:5" x14ac:dyDescent="0.25">
      <c r="A253" s="106">
        <v>46024</v>
      </c>
      <c r="B253" s="107">
        <v>7.5</v>
      </c>
      <c r="C253" t="s">
        <v>78</v>
      </c>
      <c r="D253" t="s">
        <v>56</v>
      </c>
      <c r="E253" t="s">
        <v>18</v>
      </c>
    </row>
    <row r="254" spans="1:5" x14ac:dyDescent="0.25">
      <c r="A254" s="106">
        <v>46069</v>
      </c>
      <c r="B254" s="107">
        <v>7.5</v>
      </c>
      <c r="C254" t="s">
        <v>79</v>
      </c>
      <c r="D254" t="s">
        <v>54</v>
      </c>
      <c r="E254" t="s">
        <v>18</v>
      </c>
    </row>
    <row r="255" spans="1:5" x14ac:dyDescent="0.25">
      <c r="A255" s="106">
        <v>46070</v>
      </c>
      <c r="B255" s="107">
        <v>7.5</v>
      </c>
      <c r="C255" t="s">
        <v>79</v>
      </c>
      <c r="D255" t="s">
        <v>54</v>
      </c>
      <c r="E255" t="s">
        <v>18</v>
      </c>
    </row>
    <row r="256" spans="1:5" x14ac:dyDescent="0.25">
      <c r="A256" s="106">
        <v>46071</v>
      </c>
      <c r="B256" s="107">
        <v>7.5</v>
      </c>
      <c r="C256" t="s">
        <v>79</v>
      </c>
      <c r="D256" t="s">
        <v>54</v>
      </c>
      <c r="E256" t="s">
        <v>18</v>
      </c>
    </row>
    <row r="257" spans="1:5" x14ac:dyDescent="0.25">
      <c r="A257" s="106">
        <v>46072</v>
      </c>
      <c r="B257" s="107">
        <v>7.5</v>
      </c>
      <c r="C257" t="s">
        <v>79</v>
      </c>
      <c r="D257" t="s">
        <v>54</v>
      </c>
      <c r="E257" t="s">
        <v>18</v>
      </c>
    </row>
    <row r="258" spans="1:5" x14ac:dyDescent="0.25">
      <c r="A258" s="106">
        <v>46073</v>
      </c>
      <c r="B258" s="107">
        <v>7.5</v>
      </c>
      <c r="C258" t="s">
        <v>79</v>
      </c>
      <c r="D258" t="s">
        <v>54</v>
      </c>
      <c r="E258" t="s">
        <v>18</v>
      </c>
    </row>
    <row r="259" spans="1:5" x14ac:dyDescent="0.25">
      <c r="A259" s="106">
        <v>46087</v>
      </c>
      <c r="B259" s="107">
        <v>3.75</v>
      </c>
      <c r="C259" t="s">
        <v>59</v>
      </c>
      <c r="D259" t="s">
        <v>54</v>
      </c>
      <c r="E259" t="s">
        <v>18</v>
      </c>
    </row>
    <row r="260" spans="1:5" x14ac:dyDescent="0.25">
      <c r="A260" s="106">
        <v>46129</v>
      </c>
      <c r="B260" s="107">
        <v>7.5</v>
      </c>
      <c r="C260" t="s">
        <v>60</v>
      </c>
      <c r="D260" t="s">
        <v>54</v>
      </c>
      <c r="E260" t="s">
        <v>57</v>
      </c>
    </row>
    <row r="261" spans="1:5" x14ac:dyDescent="0.25">
      <c r="A261" s="106">
        <v>46164</v>
      </c>
      <c r="B261" s="107">
        <v>7.5</v>
      </c>
      <c r="C261" t="s">
        <v>76</v>
      </c>
      <c r="D261" t="s">
        <v>54</v>
      </c>
      <c r="E261" t="s">
        <v>57</v>
      </c>
    </row>
    <row r="262" spans="1:5" x14ac:dyDescent="0.25">
      <c r="A262" s="106">
        <v>46188</v>
      </c>
      <c r="B262" s="107">
        <v>7.5</v>
      </c>
      <c r="C262" t="s">
        <v>71</v>
      </c>
      <c r="D262" t="s">
        <v>54</v>
      </c>
      <c r="E262" t="s">
        <v>18</v>
      </c>
    </row>
    <row r="263" spans="1:5" x14ac:dyDescent="0.25">
      <c r="A263" s="106">
        <v>46189</v>
      </c>
      <c r="B263" s="107">
        <v>7.5</v>
      </c>
      <c r="C263" t="s">
        <v>71</v>
      </c>
      <c r="D263" t="s">
        <v>54</v>
      </c>
      <c r="E263" t="s">
        <v>18</v>
      </c>
    </row>
    <row r="264" spans="1:5" x14ac:dyDescent="0.25">
      <c r="A264" s="106">
        <v>46190</v>
      </c>
      <c r="B264" s="107">
        <v>7.5</v>
      </c>
      <c r="C264" t="s">
        <v>71</v>
      </c>
      <c r="D264" t="s">
        <v>54</v>
      </c>
      <c r="E264" t="s">
        <v>18</v>
      </c>
    </row>
    <row r="265" spans="1:5" x14ac:dyDescent="0.25">
      <c r="A265" s="106">
        <v>46191</v>
      </c>
      <c r="B265" s="107">
        <v>7.5</v>
      </c>
      <c r="C265" t="s">
        <v>71</v>
      </c>
      <c r="D265" t="s">
        <v>54</v>
      </c>
      <c r="E265" t="s">
        <v>18</v>
      </c>
    </row>
    <row r="266" spans="1:5" x14ac:dyDescent="0.25">
      <c r="A266" s="106">
        <v>46192</v>
      </c>
      <c r="B266" s="107">
        <v>7.5</v>
      </c>
      <c r="C266" t="s">
        <v>71</v>
      </c>
      <c r="D266" t="s">
        <v>54</v>
      </c>
      <c r="E266" t="s">
        <v>18</v>
      </c>
    </row>
    <row r="267" spans="1:5" x14ac:dyDescent="0.25">
      <c r="A267" s="106">
        <v>46234</v>
      </c>
      <c r="B267" s="107">
        <v>7.5</v>
      </c>
      <c r="C267" t="s">
        <v>60</v>
      </c>
      <c r="D267" t="s">
        <v>54</v>
      </c>
      <c r="E267" t="s">
        <v>18</v>
      </c>
    </row>
    <row r="268" spans="1:5" x14ac:dyDescent="0.25">
      <c r="A268" s="106">
        <v>46244</v>
      </c>
      <c r="B268" s="107">
        <v>7.5</v>
      </c>
      <c r="C268" t="s">
        <v>73</v>
      </c>
      <c r="D268" t="s">
        <v>56</v>
      </c>
      <c r="E268" t="s">
        <v>57</v>
      </c>
    </row>
    <row r="269" spans="1:5" x14ac:dyDescent="0.25">
      <c r="A269" s="106">
        <v>46245</v>
      </c>
      <c r="B269" s="107">
        <v>7.5</v>
      </c>
      <c r="C269" t="s">
        <v>73</v>
      </c>
      <c r="D269" t="s">
        <v>56</v>
      </c>
      <c r="E269" t="s">
        <v>57</v>
      </c>
    </row>
    <row r="270" spans="1:5" x14ac:dyDescent="0.25">
      <c r="A270" s="106">
        <v>46246</v>
      </c>
      <c r="B270" s="107">
        <v>7.5</v>
      </c>
      <c r="C270" t="s">
        <v>73</v>
      </c>
      <c r="D270" t="s">
        <v>56</v>
      </c>
      <c r="E270" t="s">
        <v>57</v>
      </c>
    </row>
    <row r="271" spans="1:5" x14ac:dyDescent="0.25">
      <c r="A271" s="106">
        <v>46290</v>
      </c>
      <c r="B271" s="107">
        <v>7.5</v>
      </c>
      <c r="C271" t="s">
        <v>60</v>
      </c>
      <c r="D271" t="s">
        <v>55</v>
      </c>
      <c r="E271" t="s">
        <v>18</v>
      </c>
    </row>
    <row r="272" spans="1:5" x14ac:dyDescent="0.25">
      <c r="A272" s="106">
        <v>46321</v>
      </c>
      <c r="B272" s="107">
        <v>7.5</v>
      </c>
      <c r="C272" t="s">
        <v>77</v>
      </c>
      <c r="D272" t="s">
        <v>54</v>
      </c>
      <c r="E272" t="s">
        <v>18</v>
      </c>
    </row>
    <row r="273" spans="1:5" x14ac:dyDescent="0.25">
      <c r="A273" s="106">
        <v>46322</v>
      </c>
      <c r="B273" s="107">
        <v>7.5</v>
      </c>
      <c r="C273" t="s">
        <v>77</v>
      </c>
      <c r="D273" t="s">
        <v>54</v>
      </c>
      <c r="E273" t="s">
        <v>18</v>
      </c>
    </row>
    <row r="274" spans="1:5" x14ac:dyDescent="0.25">
      <c r="A274" s="106">
        <v>46323</v>
      </c>
      <c r="B274" s="107">
        <v>7.5</v>
      </c>
      <c r="C274" t="s">
        <v>77</v>
      </c>
      <c r="D274" t="s">
        <v>54</v>
      </c>
      <c r="E274" t="s">
        <v>18</v>
      </c>
    </row>
    <row r="275" spans="1:5" x14ac:dyDescent="0.25">
      <c r="A275" s="106">
        <v>46324</v>
      </c>
      <c r="B275" s="107">
        <v>7.5</v>
      </c>
      <c r="C275" t="s">
        <v>77</v>
      </c>
      <c r="D275" t="s">
        <v>54</v>
      </c>
      <c r="E275" t="s">
        <v>18</v>
      </c>
    </row>
    <row r="276" spans="1:5" x14ac:dyDescent="0.25">
      <c r="A276" s="106">
        <v>46325</v>
      </c>
      <c r="B276" s="107">
        <v>7.5</v>
      </c>
      <c r="C276" t="s">
        <v>77</v>
      </c>
      <c r="D276" t="s">
        <v>54</v>
      </c>
      <c r="E276" t="s">
        <v>18</v>
      </c>
    </row>
    <row r="277" spans="1:5" x14ac:dyDescent="0.25">
      <c r="A277" s="106">
        <v>46377</v>
      </c>
      <c r="B277" s="107">
        <v>7.5</v>
      </c>
      <c r="C277" t="s">
        <v>62</v>
      </c>
      <c r="D277" t="s">
        <v>56</v>
      </c>
      <c r="E277" t="s">
        <v>18</v>
      </c>
    </row>
    <row r="278" spans="1:5" x14ac:dyDescent="0.25">
      <c r="A278" s="106">
        <v>46378</v>
      </c>
      <c r="B278" s="107">
        <v>7.5</v>
      </c>
      <c r="C278" t="s">
        <v>62</v>
      </c>
      <c r="D278" t="s">
        <v>56</v>
      </c>
      <c r="E278" t="s">
        <v>18</v>
      </c>
    </row>
    <row r="279" spans="1:5" x14ac:dyDescent="0.25">
      <c r="A279" s="106">
        <v>46379</v>
      </c>
      <c r="B279" s="107">
        <v>7.5</v>
      </c>
      <c r="C279" t="s">
        <v>62</v>
      </c>
      <c r="D279" t="s">
        <v>56</v>
      </c>
      <c r="E279" t="s">
        <v>18</v>
      </c>
    </row>
    <row r="280" spans="1:5" x14ac:dyDescent="0.25">
      <c r="A280" s="106">
        <v>46385</v>
      </c>
      <c r="B280" s="107">
        <v>7.5</v>
      </c>
      <c r="C280" t="s">
        <v>62</v>
      </c>
      <c r="D280" t="s">
        <v>56</v>
      </c>
      <c r="E280" t="s">
        <v>18</v>
      </c>
    </row>
    <row r="281" spans="1:5" x14ac:dyDescent="0.25">
      <c r="A281" s="106">
        <v>46386</v>
      </c>
      <c r="B281" s="107">
        <v>7.5</v>
      </c>
      <c r="C281" t="s">
        <v>62</v>
      </c>
      <c r="D281" t="s">
        <v>56</v>
      </c>
      <c r="E281" t="s">
        <v>18</v>
      </c>
    </row>
    <row r="282" spans="1:5" x14ac:dyDescent="0.25">
      <c r="A282" s="106">
        <v>46433</v>
      </c>
      <c r="B282" s="107">
        <v>7.5</v>
      </c>
      <c r="C282" t="s">
        <v>79</v>
      </c>
      <c r="D282" t="s">
        <v>55</v>
      </c>
      <c r="E282" t="s">
        <v>18</v>
      </c>
    </row>
    <row r="283" spans="1:5" x14ac:dyDescent="0.25">
      <c r="A283" s="106">
        <v>46434</v>
      </c>
      <c r="B283" s="107">
        <v>7.5</v>
      </c>
      <c r="C283" t="s">
        <v>79</v>
      </c>
      <c r="D283" t="s">
        <v>55</v>
      </c>
      <c r="E283" t="s">
        <v>18</v>
      </c>
    </row>
    <row r="284" spans="1:5" x14ac:dyDescent="0.25">
      <c r="A284" s="106">
        <v>46435</v>
      </c>
      <c r="B284" s="107">
        <v>7.5</v>
      </c>
      <c r="C284" t="s">
        <v>79</v>
      </c>
      <c r="D284" t="s">
        <v>55</v>
      </c>
      <c r="E284" t="s">
        <v>18</v>
      </c>
    </row>
    <row r="285" spans="1:5" x14ac:dyDescent="0.25">
      <c r="A285" s="106">
        <v>46436</v>
      </c>
      <c r="B285" s="107">
        <v>7.5</v>
      </c>
      <c r="C285" t="s">
        <v>79</v>
      </c>
      <c r="D285" t="s">
        <v>55</v>
      </c>
      <c r="E285" t="s">
        <v>18</v>
      </c>
    </row>
    <row r="286" spans="1:5" x14ac:dyDescent="0.25">
      <c r="A286" s="106">
        <v>46437</v>
      </c>
      <c r="B286" s="107">
        <v>7.5</v>
      </c>
      <c r="C286" t="s">
        <v>79</v>
      </c>
      <c r="D286" t="s">
        <v>55</v>
      </c>
      <c r="E286" t="s">
        <v>18</v>
      </c>
    </row>
    <row r="287" spans="1:5" x14ac:dyDescent="0.25">
      <c r="A287" s="106">
        <v>46472</v>
      </c>
      <c r="B287" s="107">
        <v>3.75</v>
      </c>
      <c r="C287" t="s">
        <v>59</v>
      </c>
      <c r="D287" t="s">
        <v>55</v>
      </c>
      <c r="E287" t="s">
        <v>18</v>
      </c>
    </row>
  </sheetData>
  <sheetProtection selectLockedCells="1"/>
  <dataValidations count="2">
    <dataValidation type="list" allowBlank="1" showInputMessage="1" showErrorMessage="1" sqref="D2:D287" xr:uid="{CBC924C4-D00E-4835-936C-F2FDC1D365B9}">
      <formula1>INDIRECT("Holiday_Accepted_By_Input[Accepted by]")</formula1>
    </dataValidation>
    <dataValidation type="list" allowBlank="1" showInputMessage="1" showErrorMessage="1" sqref="E2:E287" xr:uid="{4CFB1DA0-0BE4-44D3-8837-2789037FBD5A}">
      <formula1>INDIRECT("Holiday_Method_Input[Method]")</formula1>
    </dataValidation>
  </dataValidation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13" id="{608192B8-B7F6-4FFC-AF5B-DC155D5003F0}">
            <xm:f>$A2&lt;Dashboard!$C$41</xm:f>
            <x14:dxf>
              <fill>
                <patternFill patternType="solid">
                  <bgColor theme="5" tint="0.59996337778862885"/>
                </patternFill>
              </fill>
              <border>
                <left style="thin">
                  <color theme="5" tint="-0.499984740745262"/>
                </left>
                <right style="thin">
                  <color theme="5" tint="-0.499984740745262"/>
                </right>
                <top style="thin">
                  <color theme="5" tint="-0.499984740745262"/>
                </top>
                <bottom style="thin">
                  <color theme="5" tint="-0.499984740745262"/>
                </bottom>
              </border>
            </x14:dxf>
          </x14:cfRule>
          <x14:cfRule type="expression" priority="14" id="{A661C14A-9B6B-4482-A177-0AB2C9CF2C0B}">
            <xm:f>$A2&gt;Dashboard!$C$41</xm:f>
            <x14:dxf>
              <fill>
                <patternFill>
                  <bgColor theme="5" tint="0.39994506668294322"/>
                </patternFill>
              </fill>
              <border>
                <left style="thin">
                  <color theme="5" tint="-0.499984740745262"/>
                </left>
                <right style="thin">
                  <color theme="5" tint="-0.499984740745262"/>
                </right>
                <top style="thin">
                  <color theme="5" tint="-0.499984740745262"/>
                </top>
                <bottom style="thin">
                  <color theme="5" tint="-0.499984740745262"/>
                </bottom>
              </border>
            </x14:dxf>
          </x14:cfRule>
          <xm:sqref>A2:E287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CCF3-D220-4A94-836E-7CC6850B6B79}">
  <dimension ref="A1:P24"/>
  <sheetViews>
    <sheetView workbookViewId="0">
      <selection activeCell="A25" sqref="A25"/>
    </sheetView>
  </sheetViews>
  <sheetFormatPr defaultRowHeight="15.75" x14ac:dyDescent="0.25"/>
  <cols>
    <col min="1" max="1" width="14.28515625" style="78" bestFit="1" customWidth="1"/>
    <col min="2" max="2" width="13.85546875" style="78" customWidth="1"/>
    <col min="3" max="3" width="38.42578125" style="63" bestFit="1" customWidth="1"/>
    <col min="4" max="4" width="39" style="78" customWidth="1"/>
    <col min="5" max="5" width="20.28515625" style="88" bestFit="1" customWidth="1"/>
    <col min="6" max="6" width="16.85546875" style="78" bestFit="1" customWidth="1"/>
    <col min="7" max="7" width="10.7109375" bestFit="1" customWidth="1"/>
    <col min="8" max="8" width="14" style="63" bestFit="1" customWidth="1"/>
    <col min="9" max="9" width="8.85546875" style="63" customWidth="1"/>
    <col min="10" max="10" width="5.7109375" style="1" customWidth="1"/>
    <col min="11" max="11" width="18.5703125" style="63" bestFit="1" customWidth="1"/>
    <col min="12" max="15" width="9.140625" style="63"/>
    <col min="16" max="16" width="9.140625" style="119"/>
    <col min="17" max="16384" width="9.140625" style="63"/>
  </cols>
  <sheetData>
    <row r="1" spans="1:16" s="78" customFormat="1" ht="40.5" customHeight="1" x14ac:dyDescent="0.25">
      <c r="A1" s="140" t="s">
        <v>120</v>
      </c>
      <c r="B1" s="140"/>
      <c r="C1" s="140"/>
      <c r="D1" s="140"/>
      <c r="E1" s="140"/>
      <c r="F1" s="140"/>
      <c r="G1" s="141" t="s">
        <v>48</v>
      </c>
      <c r="H1" s="142"/>
      <c r="I1" s="143"/>
      <c r="J1" s="1"/>
      <c r="K1" s="105" t="s">
        <v>22</v>
      </c>
    </row>
    <row r="2" spans="1:16" s="78" customFormat="1" ht="15.75" customHeight="1" x14ac:dyDescent="0.25">
      <c r="A2" s="77"/>
      <c r="B2" s="77"/>
      <c r="C2" s="77"/>
      <c r="D2" s="77"/>
      <c r="E2" s="87"/>
      <c r="F2" s="77"/>
      <c r="G2" s="144"/>
      <c r="H2" s="145"/>
      <c r="I2" s="146"/>
      <c r="J2" s="1"/>
      <c r="K2" s="79" t="s">
        <v>119</v>
      </c>
    </row>
    <row r="3" spans="1:16" s="78" customFormat="1" ht="15.75" customHeight="1" x14ac:dyDescent="0.25">
      <c r="A3" s="77"/>
      <c r="B3" s="77"/>
      <c r="C3" s="77"/>
      <c r="D3" s="77"/>
      <c r="E3" s="87"/>
      <c r="F3" s="77"/>
      <c r="G3" s="144"/>
      <c r="H3" s="145"/>
      <c r="I3" s="146"/>
      <c r="J3" s="1"/>
      <c r="K3" s="82" t="s">
        <v>118</v>
      </c>
    </row>
    <row r="4" spans="1:16" s="78" customFormat="1" ht="15.75" customHeight="1" thickBot="1" x14ac:dyDescent="0.3">
      <c r="A4" s="80" t="s">
        <v>50</v>
      </c>
      <c r="B4" s="81">
        <f ca="1">Dashboard!C41</f>
        <v>46251</v>
      </c>
      <c r="C4" s="77"/>
      <c r="D4" s="77"/>
      <c r="E4" s="87"/>
      <c r="F4" s="77"/>
      <c r="G4" s="147"/>
      <c r="H4" s="148"/>
      <c r="I4" s="149"/>
      <c r="J4" s="1"/>
      <c r="K4" s="83" t="s">
        <v>32</v>
      </c>
    </row>
    <row r="5" spans="1:16" ht="15.75" customHeight="1" thickBot="1" x14ac:dyDescent="0.3">
      <c r="G5" s="63"/>
      <c r="P5" s="63"/>
    </row>
    <row r="6" spans="1:16" ht="16.5" thickBot="1" x14ac:dyDescent="0.3">
      <c r="A6" s="135" t="s">
        <v>44</v>
      </c>
      <c r="B6" s="136"/>
      <c r="C6" s="86" t="s">
        <v>45</v>
      </c>
      <c r="D6" s="100" t="s">
        <v>46</v>
      </c>
      <c r="E6" s="137" t="s">
        <v>47</v>
      </c>
      <c r="F6" s="138"/>
      <c r="G6" s="139"/>
    </row>
    <row r="7" spans="1:16" ht="23.25" hidden="1" customHeight="1" thickBot="1" x14ac:dyDescent="0.3"/>
    <row r="8" spans="1:16" ht="18.75" x14ac:dyDescent="0.3">
      <c r="A8" s="76" t="s">
        <v>34</v>
      </c>
      <c r="B8" s="76" t="s">
        <v>33</v>
      </c>
      <c r="C8" s="76" t="s">
        <v>19</v>
      </c>
      <c r="D8" s="76" t="s">
        <v>20</v>
      </c>
      <c r="E8" s="89" t="s">
        <v>40</v>
      </c>
      <c r="F8" s="76" t="s">
        <v>42</v>
      </c>
      <c r="G8" s="76" t="s">
        <v>21</v>
      </c>
      <c r="H8" s="76" t="s">
        <v>29</v>
      </c>
      <c r="P8" s="63"/>
    </row>
    <row r="9" spans="1:16" x14ac:dyDescent="0.25">
      <c r="A9" s="106">
        <v>42681</v>
      </c>
      <c r="B9" s="106">
        <v>42682</v>
      </c>
      <c r="C9" t="s">
        <v>65</v>
      </c>
      <c r="D9" t="s">
        <v>43</v>
      </c>
      <c r="E9" s="90">
        <f>IF(Sickness_Data[[#This Row],[Meeting]]="","",VLOOKUP(Sickness_Data[[#This Row],[Meeting]],RTWC_Policy_Input[],3,FALSE))</f>
        <v>0</v>
      </c>
      <c r="F9" s="85" t="str">
        <f>IF(OR(Sickness_Data[[#This Row],[Last Day]]="",Sickness_Data[[#This Row],[Review Period]]="",Sickness_Data[[#This Row],[Review Period]]=0),"",EDATE(Sickness_Data[[#This Row],[Last Day]],Sickness_Data[[#This Row],[Review Period]]))</f>
        <v/>
      </c>
      <c r="G9" s="1" t="str" cm="1">
        <f t="array" aca="1" ref="G9" ca="1">_xlfn.IFS(Sickness_Data[[#This Row],[Review End]]="","",$B$4&gt;Sickness_Data[[#This Row],[Review End]],"Ended",TRUE,"In Process")</f>
        <v/>
      </c>
      <c r="H9" s="84">
        <f>NETWORKDAYS(Sickness_Data[[#This Row],[First Day]],Sickness_Data[[#This Row],[Last Day]])</f>
        <v>2</v>
      </c>
      <c r="P9" s="63"/>
    </row>
    <row r="10" spans="1:16" x14ac:dyDescent="0.25">
      <c r="A10" s="106">
        <v>43122</v>
      </c>
      <c r="B10" s="106">
        <v>43122</v>
      </c>
      <c r="C10" t="s">
        <v>66</v>
      </c>
      <c r="D10" t="s">
        <v>41</v>
      </c>
      <c r="E10" s="90">
        <f>IF(Sickness_Data[[#This Row],[Meeting]]="","",VLOOKUP(Sickness_Data[[#This Row],[Meeting]],RTWC_Policy_Input[],3,FALSE))</f>
        <v>0</v>
      </c>
      <c r="F10" s="85" t="str">
        <f>IF(OR(Sickness_Data[[#This Row],[Last Day]]="",Sickness_Data[[#This Row],[Review Period]]="",Sickness_Data[[#This Row],[Review Period]]=0),"",EDATE(Sickness_Data[[#This Row],[Last Day]],Sickness_Data[[#This Row],[Review Period]]))</f>
        <v/>
      </c>
      <c r="G10" s="1" t="str" cm="1">
        <f t="array" aca="1" ref="G10" ca="1">_xlfn.IFS(Sickness_Data[[#This Row],[Review End]]="","",$B$4&gt;Sickness_Data[[#This Row],[Review End]],"Ended",TRUE,"In Process")</f>
        <v/>
      </c>
      <c r="H10" s="63">
        <f>NETWORKDAYS(Sickness_Data[[#This Row],[First Day]],Sickness_Data[[#This Row],[Last Day]])</f>
        <v>1</v>
      </c>
    </row>
    <row r="11" spans="1:16" x14ac:dyDescent="0.25">
      <c r="A11" s="106">
        <v>43171</v>
      </c>
      <c r="B11" s="106">
        <v>43172</v>
      </c>
      <c r="C11" t="s">
        <v>67</v>
      </c>
      <c r="D11" t="s">
        <v>43</v>
      </c>
      <c r="E11" s="90">
        <f>IF(Sickness_Data[[#This Row],[Meeting]]="","",VLOOKUP(Sickness_Data[[#This Row],[Meeting]],RTWC_Policy_Input[],3,FALSE))</f>
        <v>0</v>
      </c>
      <c r="F11" s="85" t="str">
        <f>IF(OR(Sickness_Data[[#This Row],[Last Day]]="",Sickness_Data[[#This Row],[Review Period]]="",Sickness_Data[[#This Row],[Review Period]]=0),"",EDATE(Sickness_Data[[#This Row],[Last Day]],Sickness_Data[[#This Row],[Review Period]]))</f>
        <v/>
      </c>
      <c r="G11" s="1" t="str" cm="1">
        <f t="array" aca="1" ref="G11" ca="1">_xlfn.IFS(Sickness_Data[[#This Row],[Review End]]="","",$B$4&gt;Sickness_Data[[#This Row],[Review End]],"Ended",TRUE,"In Process")</f>
        <v/>
      </c>
      <c r="H11" s="63">
        <f>NETWORKDAYS(Sickness_Data[[#This Row],[First Day]],Sickness_Data[[#This Row],[Last Day]])</f>
        <v>2</v>
      </c>
    </row>
    <row r="12" spans="1:16" x14ac:dyDescent="0.25">
      <c r="A12" s="106">
        <v>43251</v>
      </c>
      <c r="B12" s="106">
        <v>43255</v>
      </c>
      <c r="C12" t="s">
        <v>70</v>
      </c>
      <c r="D12" t="s">
        <v>43</v>
      </c>
      <c r="E12" s="90">
        <f>IF(Sickness_Data[[#This Row],[Meeting]]="","",VLOOKUP(Sickness_Data[[#This Row],[Meeting]],RTWC_Policy_Input[],3,FALSE))</f>
        <v>0</v>
      </c>
      <c r="F12" s="85" t="str">
        <f>IF(OR(Sickness_Data[[#This Row],[Last Day]]="",Sickness_Data[[#This Row],[Review Period]]="",Sickness_Data[[#This Row],[Review Period]]=0),"",EDATE(Sickness_Data[[#This Row],[Last Day]],Sickness_Data[[#This Row],[Review Period]]))</f>
        <v/>
      </c>
      <c r="G12" s="1" t="str" cm="1">
        <f t="array" aca="1" ref="G12" ca="1">_xlfn.IFS(Sickness_Data[[#This Row],[Review End]]="","",$B$4&gt;Sickness_Data[[#This Row],[Review End]],"Ended",TRUE,"In Process")</f>
        <v/>
      </c>
      <c r="H12" s="63">
        <f>NETWORKDAYS(Sickness_Data[[#This Row],[First Day]],Sickness_Data[[#This Row],[Last Day]])</f>
        <v>3</v>
      </c>
    </row>
    <row r="13" spans="1:16" x14ac:dyDescent="0.25">
      <c r="A13" s="106">
        <v>43287</v>
      </c>
      <c r="B13" s="106">
        <v>43287</v>
      </c>
      <c r="C13" t="s">
        <v>66</v>
      </c>
      <c r="D13" t="s">
        <v>106</v>
      </c>
      <c r="E13" s="90">
        <f>IF(Sickness_Data[[#This Row],[Meeting]]="","",VLOOKUP(Sickness_Data[[#This Row],[Meeting]],RTWC_Policy_Input[],3,FALSE))</f>
        <v>4</v>
      </c>
      <c r="F13" s="85">
        <f>IF(OR(Sickness_Data[[#This Row],[Last Day]]="",Sickness_Data[[#This Row],[Review Period]]="",Sickness_Data[[#This Row],[Review Period]]=0),"",EDATE(Sickness_Data[[#This Row],[Last Day]],Sickness_Data[[#This Row],[Review Period]]))</f>
        <v>43410</v>
      </c>
      <c r="G13" s="1" t="str" cm="1">
        <f t="array" aca="1" ref="G13" ca="1">_xlfn.IFS(Sickness_Data[[#This Row],[Review End]]="","",$B$4&gt;Sickness_Data[[#This Row],[Review End]],"Ended",TRUE,"In Process")</f>
        <v>Ended</v>
      </c>
      <c r="H13" s="63">
        <f>NETWORKDAYS(Sickness_Data[[#This Row],[First Day]],Sickness_Data[[#This Row],[Last Day]])</f>
        <v>1</v>
      </c>
    </row>
    <row r="14" spans="1:16" x14ac:dyDescent="0.25">
      <c r="A14" s="106">
        <v>43332</v>
      </c>
      <c r="B14" s="106">
        <v>43343</v>
      </c>
      <c r="C14" t="s">
        <v>69</v>
      </c>
      <c r="D14" t="s">
        <v>108</v>
      </c>
      <c r="E14" s="90">
        <f>IF(Sickness_Data[[#This Row],[Meeting]]="","",VLOOKUP(Sickness_Data[[#This Row],[Meeting]],RTWC_Policy_Input[],3,FALSE))</f>
        <v>8</v>
      </c>
      <c r="F14" s="85">
        <f>IF(OR(Sickness_Data[[#This Row],[Last Day]]="",Sickness_Data[[#This Row],[Review Period]]="",Sickness_Data[[#This Row],[Review Period]]=0),"",EDATE(Sickness_Data[[#This Row],[Last Day]],Sickness_Data[[#This Row],[Review Period]]))</f>
        <v>43585</v>
      </c>
      <c r="G14" s="1" t="str" cm="1">
        <f t="array" aca="1" ref="G14" ca="1">_xlfn.IFS(Sickness_Data[[#This Row],[Review End]]="","",$B$4&gt;Sickness_Data[[#This Row],[Review End]],"Ended",TRUE,"In Process")</f>
        <v>Ended</v>
      </c>
      <c r="H14" s="63">
        <f>NETWORKDAYS(Sickness_Data[[#This Row],[First Day]],Sickness_Data[[#This Row],[Last Day]])</f>
        <v>10</v>
      </c>
    </row>
    <row r="15" spans="1:16" x14ac:dyDescent="0.25">
      <c r="A15" s="106">
        <v>43370</v>
      </c>
      <c r="B15" s="106">
        <v>43374</v>
      </c>
      <c r="C15" t="s">
        <v>65</v>
      </c>
      <c r="D15" t="s">
        <v>110</v>
      </c>
      <c r="E15" s="90">
        <f>IF(Sickness_Data[[#This Row],[Meeting]]="","",VLOOKUP(Sickness_Data[[#This Row],[Meeting]],RTWC_Policy_Input[],3,FALSE))</f>
        <v>12</v>
      </c>
      <c r="F15" s="85">
        <f>IF(OR(Sickness_Data[[#This Row],[Last Day]]="",Sickness_Data[[#This Row],[Review Period]]="",Sickness_Data[[#This Row],[Review Period]]=0),"",EDATE(Sickness_Data[[#This Row],[Last Day]],Sickness_Data[[#This Row],[Review Period]]))</f>
        <v>43739</v>
      </c>
      <c r="G15" s="1" t="str" cm="1">
        <f t="array" aca="1" ref="G15" ca="1">_xlfn.IFS(Sickness_Data[[#This Row],[Review End]]="","",$B$4&gt;Sickness_Data[[#This Row],[Review End]],"Ended",TRUE,"In Process")</f>
        <v>Ended</v>
      </c>
      <c r="H15" s="63">
        <f>NETWORKDAYS(Sickness_Data[[#This Row],[First Day]],Sickness_Data[[#This Row],[Last Day]])</f>
        <v>3</v>
      </c>
    </row>
    <row r="16" spans="1:16" x14ac:dyDescent="0.25">
      <c r="A16" s="106">
        <v>43843</v>
      </c>
      <c r="B16" s="106">
        <v>43847</v>
      </c>
      <c r="C16" t="s">
        <v>68</v>
      </c>
      <c r="D16" t="s">
        <v>43</v>
      </c>
      <c r="E16" s="90">
        <f>IF(Sickness_Data[[#This Row],[Meeting]]="","",VLOOKUP(Sickness_Data[[#This Row],[Meeting]],RTWC_Policy_Input[],3,FALSE))</f>
        <v>0</v>
      </c>
      <c r="F16" s="85" t="str">
        <f>IF(OR(Sickness_Data[[#This Row],[Last Day]]="",Sickness_Data[[#This Row],[Review Period]]="",Sickness_Data[[#This Row],[Review Period]]=0),"",EDATE(Sickness_Data[[#This Row],[Last Day]],Sickness_Data[[#This Row],[Review Period]]))</f>
        <v/>
      </c>
      <c r="G16" s="1" t="str" cm="1">
        <f t="array" aca="1" ref="G16" ca="1">_xlfn.IFS(Sickness_Data[[#This Row],[Review End]]="","",$B$4&gt;Sickness_Data[[#This Row],[Review End]],"Ended",TRUE,"In Process")</f>
        <v/>
      </c>
      <c r="H16" s="63">
        <f>NETWORKDAYS(Sickness_Data[[#This Row],[First Day]],Sickness_Data[[#This Row],[Last Day]])</f>
        <v>5</v>
      </c>
    </row>
    <row r="17" spans="1:8" x14ac:dyDescent="0.25">
      <c r="A17" s="106">
        <v>44687</v>
      </c>
      <c r="B17" s="106">
        <v>44687</v>
      </c>
      <c r="C17" t="s">
        <v>66</v>
      </c>
      <c r="D17" t="s">
        <v>41</v>
      </c>
      <c r="E17" s="90">
        <f>IF(Sickness_Data[[#This Row],[Meeting]]="","",VLOOKUP(Sickness_Data[[#This Row],[Meeting]],RTWC_Policy_Input[],3,FALSE))</f>
        <v>0</v>
      </c>
      <c r="F17" s="85" t="str">
        <f>IF(OR(Sickness_Data[[#This Row],[Last Day]]="",Sickness_Data[[#This Row],[Review Period]]="",Sickness_Data[[#This Row],[Review Period]]=0),"",EDATE(Sickness_Data[[#This Row],[Last Day]],Sickness_Data[[#This Row],[Review Period]]))</f>
        <v/>
      </c>
      <c r="G17" s="1" t="str" cm="1">
        <f t="array" aca="1" ref="G17" ca="1">_xlfn.IFS(Sickness_Data[[#This Row],[Review End]]="","",$B$4&gt;Sickness_Data[[#This Row],[Review End]],"Ended",TRUE,"In Process")</f>
        <v/>
      </c>
      <c r="H17" s="63">
        <f>NETWORKDAYS(Sickness_Data[[#This Row],[First Day]],Sickness_Data[[#This Row],[Last Day]])</f>
        <v>1</v>
      </c>
    </row>
    <row r="18" spans="1:8" x14ac:dyDescent="0.25">
      <c r="A18" s="106">
        <v>44900</v>
      </c>
      <c r="B18" s="106">
        <v>44902</v>
      </c>
      <c r="C18" t="s">
        <v>67</v>
      </c>
      <c r="D18" t="s">
        <v>43</v>
      </c>
      <c r="E18" s="90">
        <f>IF(Sickness_Data[[#This Row],[Meeting]]="","",VLOOKUP(Sickness_Data[[#This Row],[Meeting]],RTWC_Policy_Input[],3,FALSE))</f>
        <v>0</v>
      </c>
      <c r="F18" s="85" t="str">
        <f>IF(OR(Sickness_Data[[#This Row],[Last Day]]="",Sickness_Data[[#This Row],[Review Period]]="",Sickness_Data[[#This Row],[Review Period]]=0),"",EDATE(Sickness_Data[[#This Row],[Last Day]],Sickness_Data[[#This Row],[Review Period]]))</f>
        <v/>
      </c>
      <c r="G18" s="1" t="str" cm="1">
        <f t="array" aca="1" ref="G18" ca="1">_xlfn.IFS(Sickness_Data[[#This Row],[Review End]]="","",$B$4&gt;Sickness_Data[[#This Row],[Review End]],"Ended",TRUE,"In Process")</f>
        <v/>
      </c>
      <c r="H18" s="63">
        <f>NETWORKDAYS(Sickness_Data[[#This Row],[First Day]],Sickness_Data[[#This Row],[Last Day]])</f>
        <v>3</v>
      </c>
    </row>
    <row r="19" spans="1:8" x14ac:dyDescent="0.25">
      <c r="A19" s="106">
        <v>44953</v>
      </c>
      <c r="B19" s="106">
        <v>44953</v>
      </c>
      <c r="C19" t="s">
        <v>66</v>
      </c>
      <c r="D19" t="s">
        <v>43</v>
      </c>
      <c r="E19" s="90">
        <f>IF(Sickness_Data[[#This Row],[Meeting]]="","",VLOOKUP(Sickness_Data[[#This Row],[Meeting]],RTWC_Policy_Input[],3,FALSE))</f>
        <v>0</v>
      </c>
      <c r="F19" s="85" t="str">
        <f>IF(OR(Sickness_Data[[#This Row],[Last Day]]="",Sickness_Data[[#This Row],[Review Period]]="",Sickness_Data[[#This Row],[Review Period]]=0),"",EDATE(Sickness_Data[[#This Row],[Last Day]],Sickness_Data[[#This Row],[Review Period]]))</f>
        <v/>
      </c>
      <c r="G19" s="1" t="str" cm="1">
        <f t="array" aca="1" ref="G19" ca="1">_xlfn.IFS(Sickness_Data[[#This Row],[Review End]]="","",$B$4&gt;Sickness_Data[[#This Row],[Review End]],"Ended",TRUE,"In Process")</f>
        <v/>
      </c>
      <c r="H19" s="63">
        <f>NETWORKDAYS(Sickness_Data[[#This Row],[First Day]],Sickness_Data[[#This Row],[Last Day]])</f>
        <v>1</v>
      </c>
    </row>
    <row r="20" spans="1:8" x14ac:dyDescent="0.25">
      <c r="A20" s="106">
        <v>44977</v>
      </c>
      <c r="B20" s="106">
        <v>44988</v>
      </c>
      <c r="C20" t="s">
        <v>70</v>
      </c>
      <c r="D20" t="s">
        <v>106</v>
      </c>
      <c r="E20" s="90">
        <f>IF(Sickness_Data[[#This Row],[Meeting]]="","",VLOOKUP(Sickness_Data[[#This Row],[Meeting]],RTWC_Policy_Input[],3,FALSE))</f>
        <v>4</v>
      </c>
      <c r="F20" s="85">
        <f>IF(OR(Sickness_Data[[#This Row],[Last Day]]="",Sickness_Data[[#This Row],[Review Period]]="",Sickness_Data[[#This Row],[Review Period]]=0),"",EDATE(Sickness_Data[[#This Row],[Last Day]],Sickness_Data[[#This Row],[Review Period]]))</f>
        <v>45110</v>
      </c>
      <c r="G20" s="1" t="str" cm="1">
        <f t="array" aca="1" ref="G20" ca="1">_xlfn.IFS(Sickness_Data[[#This Row],[Review End]]="","",$B$4&gt;Sickness_Data[[#This Row],[Review End]],"Ended",TRUE,"In Process")</f>
        <v>Ended</v>
      </c>
      <c r="H20" s="63">
        <f>NETWORKDAYS(Sickness_Data[[#This Row],[First Day]],Sickness_Data[[#This Row],[Last Day]])</f>
        <v>10</v>
      </c>
    </row>
    <row r="21" spans="1:8" x14ac:dyDescent="0.25">
      <c r="A21" s="106">
        <v>44998</v>
      </c>
      <c r="B21" s="106">
        <v>45012</v>
      </c>
      <c r="C21" t="s">
        <v>82</v>
      </c>
      <c r="D21" t="s">
        <v>108</v>
      </c>
      <c r="E21" s="90">
        <f>IF(Sickness_Data[[#This Row],[Meeting]]="","",VLOOKUP(Sickness_Data[[#This Row],[Meeting]],RTWC_Policy_Input[],3,FALSE))</f>
        <v>8</v>
      </c>
      <c r="F21" s="85">
        <f>IF(OR(Sickness_Data[[#This Row],[Last Day]]="",Sickness_Data[[#This Row],[Review Period]]="",Sickness_Data[[#This Row],[Review Period]]=0),"",EDATE(Sickness_Data[[#This Row],[Last Day]],Sickness_Data[[#This Row],[Review Period]]))</f>
        <v>45257</v>
      </c>
      <c r="G21" s="1" t="str" cm="1">
        <f t="array" aca="1" ref="G21" ca="1">_xlfn.IFS(Sickness_Data[[#This Row],[Review End]]="","",$B$4&gt;Sickness_Data[[#This Row],[Review End]],"Ended",TRUE,"In Process")</f>
        <v>Ended</v>
      </c>
      <c r="H21" s="63">
        <f>NETWORKDAYS(Sickness_Data[[#This Row],[First Day]],Sickness_Data[[#This Row],[Last Day]])</f>
        <v>11</v>
      </c>
    </row>
    <row r="22" spans="1:8" x14ac:dyDescent="0.25">
      <c r="A22" s="106">
        <v>45554</v>
      </c>
      <c r="B22" s="106">
        <v>45555</v>
      </c>
      <c r="C22" t="s">
        <v>65</v>
      </c>
      <c r="D22" t="s">
        <v>43</v>
      </c>
      <c r="E22" s="90">
        <f>IF(Sickness_Data[[#This Row],[Meeting]]="","",VLOOKUP(Sickness_Data[[#This Row],[Meeting]],RTWC_Policy_Input[],3,FALSE))</f>
        <v>0</v>
      </c>
      <c r="F22" s="85" t="str">
        <f>IF(OR(Sickness_Data[[#This Row],[Last Day]]="",Sickness_Data[[#This Row],[Review Period]]="",Sickness_Data[[#This Row],[Review Period]]=0),"",EDATE(Sickness_Data[[#This Row],[Last Day]],Sickness_Data[[#This Row],[Review Period]]))</f>
        <v/>
      </c>
      <c r="G22" s="1" t="str" cm="1">
        <f t="array" aca="1" ref="G22" ca="1">_xlfn.IFS(Sickness_Data[[#This Row],[Review End]]="","",$B$4&gt;Sickness_Data[[#This Row],[Review End]],"Ended",TRUE,"In Process")</f>
        <v/>
      </c>
      <c r="H22" s="63">
        <f>NETWORKDAYS(Sickness_Data[[#This Row],[First Day]],Sickness_Data[[#This Row],[Last Day]])</f>
        <v>2</v>
      </c>
    </row>
    <row r="23" spans="1:8" x14ac:dyDescent="0.25">
      <c r="A23" s="106">
        <v>45992</v>
      </c>
      <c r="B23" s="106">
        <v>45995</v>
      </c>
      <c r="C23" t="s">
        <v>68</v>
      </c>
      <c r="D23" t="s">
        <v>43</v>
      </c>
      <c r="E23" s="90">
        <f>IF(Sickness_Data[[#This Row],[Meeting]]="","",VLOOKUP(Sickness_Data[[#This Row],[Meeting]],RTWC_Policy_Input[],3,FALSE))</f>
        <v>0</v>
      </c>
      <c r="F23" s="85" t="str">
        <f>IF(OR(Sickness_Data[[#This Row],[Last Day]]="",Sickness_Data[[#This Row],[Review Period]]="",Sickness_Data[[#This Row],[Review Period]]=0),"",EDATE(Sickness_Data[[#This Row],[Last Day]],Sickness_Data[[#This Row],[Review Period]]))</f>
        <v/>
      </c>
      <c r="G23" s="1" t="str" cm="1">
        <f t="array" aca="1" ref="G23" ca="1">_xlfn.IFS(Sickness_Data[[#This Row],[Review End]]="","",$B$4&gt;Sickness_Data[[#This Row],[Review End]],"Ended",TRUE,"In Process")</f>
        <v/>
      </c>
      <c r="H23" s="63">
        <f>NETWORKDAYS(Sickness_Data[[#This Row],[First Day]],Sickness_Data[[#This Row],[Last Day]])</f>
        <v>4</v>
      </c>
    </row>
    <row r="24" spans="1:8" x14ac:dyDescent="0.25">
      <c r="A24" s="106">
        <v>46206</v>
      </c>
      <c r="B24" s="106">
        <v>46210</v>
      </c>
      <c r="C24" t="s">
        <v>67</v>
      </c>
      <c r="D24" t="s">
        <v>43</v>
      </c>
      <c r="E24" s="90">
        <f>IF(Sickness_Data[[#This Row],[Meeting]]="","",VLOOKUP(Sickness_Data[[#This Row],[Meeting]],RTWC_Policy_Input[],3,FALSE))</f>
        <v>0</v>
      </c>
      <c r="F24" s="85" t="str">
        <f>IF(OR(Sickness_Data[[#This Row],[Last Day]]="",Sickness_Data[[#This Row],[Review Period]]="",Sickness_Data[[#This Row],[Review Period]]=0),"",EDATE(Sickness_Data[[#This Row],[Last Day]],Sickness_Data[[#This Row],[Review Period]]))</f>
        <v/>
      </c>
      <c r="G24" s="1" t="str" cm="1">
        <f t="array" aca="1" ref="G24" ca="1">_xlfn.IFS(Sickness_Data[[#This Row],[Review End]]="","",$B$4&gt;Sickness_Data[[#This Row],[Review End]],"Ended",TRUE,"In Process")</f>
        <v/>
      </c>
      <c r="H24" s="63">
        <f>NETWORKDAYS(Sickness_Data[[#This Row],[First Day]],Sickness_Data[[#This Row],[Last Day]])</f>
        <v>3</v>
      </c>
    </row>
  </sheetData>
  <sheetProtection selectLockedCells="1"/>
  <mergeCells count="4">
    <mergeCell ref="A6:B6"/>
    <mergeCell ref="E6:G6"/>
    <mergeCell ref="A1:F1"/>
    <mergeCell ref="G1:I4"/>
  </mergeCells>
  <conditionalFormatting sqref="A9:H24">
    <cfRule type="expression" dxfId="2" priority="21">
      <formula>($B$4-$B9)&lt;365</formula>
    </cfRule>
    <cfRule type="expression" dxfId="1" priority="22">
      <formula>($B$4-$B9)&lt;=730</formula>
    </cfRule>
    <cfRule type="expression" dxfId="0" priority="23">
      <formula>($B$4-$B9)&gt;730</formula>
    </cfRule>
  </conditionalFormatting>
  <dataValidations count="1">
    <dataValidation type="list" allowBlank="1" showInputMessage="1" showErrorMessage="1" sqref="D9:D24" xr:uid="{B3500663-A9FB-4EBE-AF96-C3E80C8136D4}">
      <formula1>INDIRECT("RTWC_Policy_Input[Process step]")</formula1>
    </dataValidation>
  </dataValidation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E54A-8BA8-4FAC-9342-4B65E3B3D058}">
  <dimension ref="B1:F34"/>
  <sheetViews>
    <sheetView zoomScaleNormal="100" workbookViewId="0">
      <selection activeCell="C1" sqref="C1:D1"/>
    </sheetView>
  </sheetViews>
  <sheetFormatPr defaultRowHeight="15.75" x14ac:dyDescent="0.25"/>
  <cols>
    <col min="1" max="1" width="0.85546875" style="63" customWidth="1"/>
    <col min="2" max="2" width="0.5703125" style="63" customWidth="1"/>
    <col min="3" max="3" width="36.7109375" style="63" bestFit="1" customWidth="1"/>
    <col min="4" max="4" width="40.42578125" style="63" bestFit="1" customWidth="1"/>
    <col min="5" max="5" width="6.7109375" style="92" bestFit="1" customWidth="1"/>
    <col min="6" max="6" width="1" style="63" customWidth="1"/>
    <col min="7" max="7" width="2.5703125" style="63" customWidth="1"/>
    <col min="8" max="8" width="18.7109375" style="63" customWidth="1"/>
    <col min="9" max="9" width="15.140625" style="63" customWidth="1"/>
    <col min="10" max="10" width="11.28515625" style="63" customWidth="1"/>
    <col min="11" max="16384" width="9.140625" style="63"/>
  </cols>
  <sheetData>
    <row r="1" spans="2:6" ht="18.75" x14ac:dyDescent="0.3">
      <c r="C1" s="151" t="s">
        <v>83</v>
      </c>
      <c r="D1" s="151"/>
      <c r="E1" s="109"/>
    </row>
    <row r="2" spans="2:6" ht="51.75" customHeight="1" x14ac:dyDescent="0.25">
      <c r="C2" s="150" t="s">
        <v>84</v>
      </c>
      <c r="D2" s="150"/>
      <c r="E2" s="150"/>
      <c r="F2" s="110"/>
    </row>
    <row r="4" spans="2:6" x14ac:dyDescent="0.25">
      <c r="C4" s="120" t="str">
        <f ca="1">"Length of Service: "&amp;DATEDIF(Dashboard!C3,Dashboard!C41,"Y")&amp;" years, "&amp;DATEDIF(Dashboard!C3,Dashboard!C41,"YM")&amp;" months"</f>
        <v>Length of Service: 11 years, 5 months</v>
      </c>
      <c r="D4" s="108"/>
      <c r="E4" s="108"/>
    </row>
    <row r="5" spans="2:6" x14ac:dyDescent="0.25">
      <c r="C5" s="108"/>
      <c r="D5" s="108"/>
      <c r="E5" s="108"/>
    </row>
    <row r="6" spans="2:6" ht="18.75" x14ac:dyDescent="0.3">
      <c r="C6" s="96" t="s">
        <v>49</v>
      </c>
      <c r="D6" s="75" t="s">
        <v>85</v>
      </c>
      <c r="E6" s="91" t="s">
        <v>6</v>
      </c>
    </row>
    <row r="7" spans="2:6" x14ac:dyDescent="0.25">
      <c r="C7" s="63" t="s">
        <v>86</v>
      </c>
      <c r="D7" s="63" t="s">
        <v>87</v>
      </c>
      <c r="E7" s="92">
        <v>0</v>
      </c>
    </row>
    <row r="8" spans="2:6" x14ac:dyDescent="0.25">
      <c r="C8" s="63" t="s">
        <v>88</v>
      </c>
      <c r="D8" s="63" t="s">
        <v>89</v>
      </c>
      <c r="E8" s="92">
        <v>10</v>
      </c>
    </row>
    <row r="9" spans="2:6" x14ac:dyDescent="0.25">
      <c r="C9" s="63" t="s">
        <v>90</v>
      </c>
      <c r="D9" s="63" t="s">
        <v>91</v>
      </c>
      <c r="E9" s="92">
        <v>20</v>
      </c>
    </row>
    <row r="10" spans="2:6" x14ac:dyDescent="0.25">
      <c r="C10" s="63" t="s">
        <v>92</v>
      </c>
      <c r="D10" s="63" t="s">
        <v>93</v>
      </c>
      <c r="E10" s="92">
        <v>30</v>
      </c>
    </row>
    <row r="11" spans="2:6" x14ac:dyDescent="0.25">
      <c r="C11" s="63" t="s">
        <v>94</v>
      </c>
      <c r="D11" s="63" t="s">
        <v>27</v>
      </c>
      <c r="E11" s="92">
        <v>40</v>
      </c>
    </row>
    <row r="12" spans="2:6" x14ac:dyDescent="0.25">
      <c r="C12" s="63" t="s">
        <v>95</v>
      </c>
      <c r="D12" s="63" t="s">
        <v>96</v>
      </c>
      <c r="E12" s="92">
        <v>60</v>
      </c>
    </row>
    <row r="13" spans="2:6" ht="16.5" thickBot="1" x14ac:dyDescent="0.3"/>
    <row r="14" spans="2:6" ht="51.75" customHeight="1" thickBot="1" x14ac:dyDescent="0.3">
      <c r="B14" s="111"/>
      <c r="C14" s="156" t="s">
        <v>97</v>
      </c>
      <c r="D14" s="156"/>
      <c r="E14" s="156"/>
      <c r="F14" s="112"/>
    </row>
    <row r="15" spans="2:6" ht="16.5" thickBot="1" x14ac:dyDescent="0.3"/>
    <row r="16" spans="2:6" ht="18.75" x14ac:dyDescent="0.3">
      <c r="B16" s="67"/>
      <c r="C16" s="155" t="s">
        <v>98</v>
      </c>
      <c r="D16" s="155"/>
      <c r="E16" s="93"/>
      <c r="F16" s="71"/>
    </row>
    <row r="17" spans="2:6" ht="146.25" customHeight="1" thickBot="1" x14ac:dyDescent="0.3">
      <c r="B17" s="70"/>
      <c r="C17" s="152" t="s">
        <v>99</v>
      </c>
      <c r="D17" s="152"/>
      <c r="E17" s="152"/>
      <c r="F17" s="64"/>
    </row>
    <row r="18" spans="2:6" ht="43.5" customHeight="1" thickBot="1" x14ac:dyDescent="0.3"/>
    <row r="19" spans="2:6" ht="22.5" customHeight="1" x14ac:dyDescent="0.25">
      <c r="B19" s="67"/>
      <c r="C19" s="113" t="s">
        <v>35</v>
      </c>
      <c r="D19" s="68"/>
      <c r="E19" s="94"/>
      <c r="F19" s="69"/>
    </row>
    <row r="20" spans="2:6" ht="36.75" customHeight="1" x14ac:dyDescent="0.25">
      <c r="B20" s="72"/>
      <c r="C20" s="153" t="s">
        <v>100</v>
      </c>
      <c r="D20" s="153"/>
      <c r="E20" s="153"/>
      <c r="F20" s="73"/>
    </row>
    <row r="21" spans="2:6" ht="21.75" customHeight="1" x14ac:dyDescent="0.25">
      <c r="B21" s="72"/>
      <c r="C21" s="153" t="s">
        <v>101</v>
      </c>
      <c r="D21" s="153"/>
      <c r="E21" s="153"/>
      <c r="F21" s="73"/>
    </row>
    <row r="22" spans="2:6" ht="21" customHeight="1" x14ac:dyDescent="0.25">
      <c r="B22" s="72"/>
      <c r="C22" s="153" t="s">
        <v>102</v>
      </c>
      <c r="D22" s="153"/>
      <c r="E22" s="153"/>
      <c r="F22" s="73"/>
    </row>
    <row r="23" spans="2:6" ht="36.75" customHeight="1" x14ac:dyDescent="0.25">
      <c r="B23" s="72"/>
      <c r="C23" s="153" t="s">
        <v>103</v>
      </c>
      <c r="D23" s="153"/>
      <c r="E23" s="153"/>
      <c r="F23" s="73"/>
    </row>
    <row r="24" spans="2:6" ht="36.75" customHeight="1" thickBot="1" x14ac:dyDescent="0.3">
      <c r="B24" s="70"/>
      <c r="C24" s="154" t="s">
        <v>104</v>
      </c>
      <c r="D24" s="154"/>
      <c r="E24" s="154"/>
      <c r="F24" s="74"/>
    </row>
    <row r="26" spans="2:6" ht="18.75" x14ac:dyDescent="0.3">
      <c r="C26" s="62" t="s">
        <v>38</v>
      </c>
    </row>
    <row r="27" spans="2:6" ht="18.75" x14ac:dyDescent="0.25">
      <c r="C27" s="121" t="s">
        <v>39</v>
      </c>
      <c r="D27" s="121" t="s">
        <v>36</v>
      </c>
    </row>
    <row r="28" spans="2:6" x14ac:dyDescent="0.25">
      <c r="C28" s="95" t="s">
        <v>105</v>
      </c>
      <c r="D28" s="95" t="s">
        <v>106</v>
      </c>
    </row>
    <row r="29" spans="2:6" x14ac:dyDescent="0.25">
      <c r="C29" s="95" t="s">
        <v>106</v>
      </c>
      <c r="D29" s="95" t="s">
        <v>107</v>
      </c>
    </row>
    <row r="30" spans="2:6" x14ac:dyDescent="0.25">
      <c r="C30" s="95" t="s">
        <v>108</v>
      </c>
      <c r="D30" s="95" t="s">
        <v>109</v>
      </c>
    </row>
    <row r="31" spans="2:6" x14ac:dyDescent="0.25">
      <c r="C31" s="95" t="s">
        <v>110</v>
      </c>
      <c r="D31" s="95" t="s">
        <v>111</v>
      </c>
    </row>
    <row r="32" spans="2:6" x14ac:dyDescent="0.25">
      <c r="C32" s="95" t="s">
        <v>112</v>
      </c>
      <c r="D32" s="95" t="s">
        <v>113</v>
      </c>
    </row>
    <row r="34" spans="3:3" x14ac:dyDescent="0.25">
      <c r="C34" s="114" t="s">
        <v>121</v>
      </c>
    </row>
  </sheetData>
  <sheetProtection selectLockedCells="1"/>
  <mergeCells count="10">
    <mergeCell ref="C22:E22"/>
    <mergeCell ref="C23:E23"/>
    <mergeCell ref="C24:E24"/>
    <mergeCell ref="C16:D16"/>
    <mergeCell ref="C14:E14"/>
    <mergeCell ref="C2:E2"/>
    <mergeCell ref="C1:D1"/>
    <mergeCell ref="C17:E17"/>
    <mergeCell ref="C20:E20"/>
    <mergeCell ref="C21:E21"/>
  </mergeCell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1371E-7829-4D0D-8096-3695682EB4F9}">
  <dimension ref="A1:J12"/>
  <sheetViews>
    <sheetView workbookViewId="0">
      <selection activeCell="A13" sqref="A13"/>
    </sheetView>
  </sheetViews>
  <sheetFormatPr defaultRowHeight="15.75" x14ac:dyDescent="0.25"/>
  <cols>
    <col min="1" max="1" width="6.42578125" style="1" bestFit="1" customWidth="1"/>
    <col min="2" max="2" width="31.42578125" style="1" bestFit="1" customWidth="1"/>
    <col min="3" max="3" width="2.5703125" style="1" customWidth="1"/>
    <col min="4" max="4" width="15.42578125" style="1" bestFit="1" customWidth="1"/>
    <col min="5" max="5" width="2.5703125" style="1" customWidth="1"/>
    <col min="6" max="6" width="10.85546875" style="1" bestFit="1" customWidth="1"/>
    <col min="7" max="7" width="2.5703125" style="1" customWidth="1"/>
    <col min="8" max="8" width="39.7109375" style="1" customWidth="1"/>
    <col min="9" max="9" width="26.85546875" style="1" customWidth="1"/>
    <col min="10" max="10" width="12.42578125" style="1" bestFit="1" customWidth="1"/>
    <col min="11" max="16384" width="9.140625" style="1"/>
  </cols>
  <sheetData>
    <row r="1" spans="1:10" ht="18.75" x14ac:dyDescent="0.3">
      <c r="A1" s="61" t="s">
        <v>8</v>
      </c>
      <c r="B1" s="61" t="s">
        <v>15</v>
      </c>
      <c r="D1" s="66" t="s">
        <v>16</v>
      </c>
      <c r="F1" s="66" t="s">
        <v>17</v>
      </c>
      <c r="H1" s="115" t="s">
        <v>39</v>
      </c>
      <c r="I1" s="115" t="s">
        <v>36</v>
      </c>
      <c r="J1" s="116" t="s">
        <v>7</v>
      </c>
    </row>
    <row r="2" spans="1:10" x14ac:dyDescent="0.25">
      <c r="A2" s="3">
        <v>2016</v>
      </c>
      <c r="B2" s="3">
        <v>240</v>
      </c>
      <c r="D2" s="65" t="s">
        <v>54</v>
      </c>
      <c r="F2" s="65" t="s">
        <v>18</v>
      </c>
      <c r="H2" s="103" t="s">
        <v>41</v>
      </c>
      <c r="I2" s="103"/>
      <c r="J2" s="104">
        <v>0</v>
      </c>
    </row>
    <row r="3" spans="1:10" x14ac:dyDescent="0.25">
      <c r="A3" s="3">
        <v>2017</v>
      </c>
      <c r="B3" s="3">
        <v>240</v>
      </c>
      <c r="D3" s="65" t="s">
        <v>55</v>
      </c>
      <c r="F3" s="65" t="s">
        <v>57</v>
      </c>
      <c r="H3" s="103" t="s">
        <v>43</v>
      </c>
      <c r="I3" s="103" t="s">
        <v>106</v>
      </c>
      <c r="J3" s="104">
        <v>0</v>
      </c>
    </row>
    <row r="4" spans="1:10" x14ac:dyDescent="0.25">
      <c r="A4" s="3">
        <v>2018</v>
      </c>
      <c r="B4" s="3">
        <v>240</v>
      </c>
      <c r="D4" s="65" t="s">
        <v>56</v>
      </c>
      <c r="H4" s="103" t="s">
        <v>106</v>
      </c>
      <c r="I4" s="103" t="s">
        <v>114</v>
      </c>
      <c r="J4" s="104">
        <v>4</v>
      </c>
    </row>
    <row r="5" spans="1:10" x14ac:dyDescent="0.25">
      <c r="A5" s="3">
        <v>2019</v>
      </c>
      <c r="B5" s="3">
        <v>240</v>
      </c>
      <c r="H5" s="103" t="s">
        <v>108</v>
      </c>
      <c r="I5" s="103" t="s">
        <v>115</v>
      </c>
      <c r="J5" s="104">
        <v>8</v>
      </c>
    </row>
    <row r="6" spans="1:10" x14ac:dyDescent="0.25">
      <c r="A6" s="3">
        <v>2020</v>
      </c>
      <c r="B6" s="3">
        <v>255</v>
      </c>
      <c r="H6" s="101" t="s">
        <v>110</v>
      </c>
      <c r="I6" s="101" t="s">
        <v>37</v>
      </c>
      <c r="J6" s="102">
        <v>12</v>
      </c>
    </row>
    <row r="7" spans="1:10" x14ac:dyDescent="0.25">
      <c r="A7" s="3">
        <v>2021</v>
      </c>
      <c r="B7" s="3">
        <v>255</v>
      </c>
      <c r="H7" s="117" t="s">
        <v>112</v>
      </c>
      <c r="I7" s="117" t="s">
        <v>116</v>
      </c>
      <c r="J7" s="118">
        <v>0</v>
      </c>
    </row>
    <row r="8" spans="1:10" x14ac:dyDescent="0.25">
      <c r="A8" s="3">
        <v>2022</v>
      </c>
      <c r="B8" s="3">
        <v>255</v>
      </c>
    </row>
    <row r="9" spans="1:10" x14ac:dyDescent="0.25">
      <c r="A9" s="3">
        <v>2023</v>
      </c>
      <c r="B9" s="3">
        <v>255</v>
      </c>
    </row>
    <row r="10" spans="1:10" x14ac:dyDescent="0.25">
      <c r="A10" s="3">
        <v>2024</v>
      </c>
      <c r="B10" s="3">
        <v>255</v>
      </c>
    </row>
    <row r="11" spans="1:10" x14ac:dyDescent="0.25">
      <c r="A11" s="3">
        <v>2025</v>
      </c>
      <c r="B11" s="3">
        <v>262.5</v>
      </c>
    </row>
    <row r="12" spans="1:10" x14ac:dyDescent="0.25">
      <c r="A12" s="3">
        <v>2026</v>
      </c>
      <c r="B12" s="3">
        <v>262.5</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Y D b q X N z e r q C n A A A A 9 w A A A B I A H A B D b 2 5 m a W c v U G F j a 2 F n Z S 5 4 b W w g o h g A K K A U A A A A A A A A A A A A A A A A A A A A A A A A A A A A h Y / N C o J A H M R f R f b u f m i E y N 8 V 6 t A l I Q i i 6 7 J t u q R r u G v r u 3 X o k X q F j L K 6 d Z y Z 3 8 D M / X q D f G j q 4 K I 6 q 1 u T I Y Y p C p S R 7 U G b M k O 9 O 4 Y J y j l s h D y J U g U j b G w 6 W J 2 h y r l z S o j 3 H v s Y t 1 1 J I k o Z 2 R f r r a x U I 0 J t r B N G K v R p H f 6 3 E I f d a w y P M J v N M U t o j C m Q y Y V C m y 8 R j Y O f 6 Y 8 J y 7 5 2 f a e 4 M u F q A W S S Q N 4 n + A N Q S w M E F A A C A A g A Y D b q 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A 2 6 l w o i k e 4 D g A A A B E A A A A T A B w A R m 9 y b X V s Y X M v U 2 V j d G l v b j E u b S C i G A A o o B Q A A A A A A A A A A A A A A A A A A A A A A A A A A A A r T k 0 u y c z P U w i G 0 I b W A F B L A Q I t A B Q A A g A I A G A 2 6 l z c 3 q 6 g p w A A A P c A A A A S A A A A A A A A A A A A A A A A A A A A A A B D b 2 5 m a W c v U G F j a 2 F n Z S 5 4 b W x Q S w E C L Q A U A A I A C A B g N u p c D 8 r p q 6 Q A A A D p A A A A E w A A A A A A A A A A A A A A A A D z A A A A W 0 N v b n R l b n R f V H l w Z X N d L n h t b F B L A Q I t A B Q A A g A I A G A 2 6 l 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b c n T 7 Z V u e S q L u G Q Q f a W 2 k A A A A A A I A A A A A A B B m A A A A A Q A A I A A A A C N L G T N O y M a K 5 2 u z e 7 E I V J D s r o R a h t r S i C Q b F l x F d 7 + p A A A A A A 6 A A A A A A g A A I A A A A I R O N t h k t A G y t L t U / r k e Z M a G u + s L 9 C b j Q o O G r o 9 R N L n H U A A A A F O m q d w 0 B g o z T V R B y H J 2 s j n F e Z s w B 3 F S p K c W A 4 3 d 6 f U / J B W T r n x R I i B Z h F k t q U N a J P Y A i A O E W j o t 4 Z / q o l G 2 P x 1 M w A O s P x 8 G b Q H 8 P j L p y + 3 E Q A A A A P I S J 7 d j V 8 d r c L G 6 k N s G b g l h I P r t i n S a 5 z T m b w x K p u 8 s V Z H G x r q D t z V g t j + Z A z 4 4 k I j O Q M i C p G N o m m V d 2 C H W x b Q = < / D a t a M a s h u p > 
</file>

<file path=customXml/itemProps1.xml><?xml version="1.0" encoding="utf-8"?>
<ds:datastoreItem xmlns:ds="http://schemas.openxmlformats.org/officeDocument/2006/customXml" ds:itemID="{1422603D-C2B7-4417-8EA4-756B60601CB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Dashboard</vt:lpstr>
      <vt:lpstr>Holidays</vt:lpstr>
      <vt:lpstr>Sickness</vt:lpstr>
      <vt:lpstr>Sickness Policy</vt:lpstr>
      <vt:lpstr>Data input</vt:lpstr>
      <vt:lpstr>'Data input'!Accepted_by_list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Employee Holiday &amp; Sickness Calculator</dc:title>
  <dc:subject>Excel-based holiday and sickness tracking and reporting tool</dc:subject>
  <dc:creator>Milan Olah</dc:creator>
  <cp:keywords>Excel, Data Analysis, Dashboard, Holiday, Sickness, Absence, CSP, HR, Reporting</cp:keywords>
  <dc:description>Excel-based tool for tracking holiday and sickness absence, automating policy-based calculations, and presenting key information through a dashboard.</dc:description>
  <cp:lastModifiedBy>Milan Olah</cp:lastModifiedBy>
  <cp:lastPrinted>2026-08-15T08:23:38Z</cp:lastPrinted>
  <dcterms:created xsi:type="dcterms:W3CDTF">2015-06-05T18:17:20Z</dcterms:created>
  <dcterms:modified xsi:type="dcterms:W3CDTF">2026-08-17T18:03:31Z</dcterms:modified>
  <cp:category>Data Analysis / Excel Dashboard</cp:category>
</cp:coreProperties>
</file>